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upphandlingsmyndigheten.sharepoint.com/sites/Utvecklingochfrvaltningavhllbarhetskriterier/Delade dokument/Textilservice/Revidering 2023/4 Externa Synpunkter/"/>
    </mc:Choice>
  </mc:AlternateContent>
  <xr:revisionPtr revIDLastSave="88" documentId="8_{CE5FF9A1-A3AF-421C-BBFC-9D9751ECEBC9}" xr6:coauthVersionLast="47" xr6:coauthVersionMax="47" xr10:uidLastSave="{0286D094-8E44-47D4-9658-62047CAA269A}"/>
  <bookViews>
    <workbookView xWindow="-120" yWindow="-120" windowWidth="29040" windowHeight="15840" activeTab="2" xr2:uid="{00000000-000D-0000-FFFF-FFFF00000000}"/>
  </bookViews>
  <sheets>
    <sheet name="Blad1" sheetId="7" r:id="rId1"/>
    <sheet name="Tvättmängder och faktorvärden" sheetId="1" r:id="rId2"/>
    <sheet name="Energi, vatten och växthusgaser" sheetId="2" r:id="rId3"/>
    <sheet name="Results_Conclusions" sheetId="6" state="hidden" r:id="rId4"/>
    <sheet name="_Chemical factors" sheetId="4" state="hidden" r:id="rId5"/>
  </sheets>
  <definedNames>
    <definedName name="_xlnm.Print_Area" localSheetId="2">'Energi, vatten och växthusgaser'!$A$1:$M$34</definedName>
    <definedName name="_xlnm.Print_Area" localSheetId="1">'Tvättmängder och faktorvärden'!$A$5:$H$33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2" l="1"/>
  <c r="R12" i="2"/>
  <c r="R11" i="2"/>
  <c r="R10" i="2"/>
  <c r="R9" i="2"/>
  <c r="R8" i="2"/>
  <c r="R7" i="2"/>
  <c r="R6" i="2"/>
  <c r="R5" i="2"/>
  <c r="R4" i="2"/>
  <c r="R3" i="2"/>
  <c r="K16" i="2"/>
  <c r="S13" i="2"/>
  <c r="F13" i="2"/>
  <c r="H13" i="2"/>
  <c r="D28" i="1"/>
  <c r="D27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C6" i="1"/>
  <c r="C29" i="1"/>
  <c r="C27" i="1"/>
  <c r="C26" i="1"/>
  <c r="C25" i="1"/>
  <c r="C24" i="1"/>
  <c r="C23" i="1"/>
  <c r="C22" i="1"/>
  <c r="C21" i="1"/>
  <c r="C20" i="1"/>
  <c r="C18" i="1"/>
  <c r="C15" i="1"/>
  <c r="C13" i="1"/>
  <c r="C12" i="1"/>
  <c r="C11" i="1"/>
  <c r="C9" i="1"/>
  <c r="C7" i="1"/>
  <c r="O15" i="2"/>
  <c r="F15" i="2"/>
  <c r="R14" i="2"/>
  <c r="S14" i="2"/>
  <c r="F14" i="2"/>
  <c r="S12" i="2"/>
  <c r="H12" i="2"/>
  <c r="F12" i="2"/>
  <c r="S11" i="2"/>
  <c r="H11" i="2"/>
  <c r="F11" i="2"/>
  <c r="S10" i="2"/>
  <c r="H10" i="2"/>
  <c r="F10" i="2"/>
  <c r="S9" i="2"/>
  <c r="H9" i="2"/>
  <c r="F9" i="2"/>
  <c r="S8" i="2"/>
  <c r="H8" i="2"/>
  <c r="F8" i="2"/>
  <c r="S7" i="2"/>
  <c r="H7" i="2"/>
  <c r="F7" i="2"/>
  <c r="S6" i="2"/>
  <c r="H6" i="2"/>
  <c r="F6" i="2"/>
  <c r="S5" i="2"/>
  <c r="H5" i="2"/>
  <c r="F5" i="2"/>
  <c r="S4" i="2"/>
  <c r="H4" i="2"/>
  <c r="F4" i="2"/>
  <c r="S3" i="2"/>
  <c r="H3" i="2"/>
  <c r="F3" i="2"/>
  <c r="P15" i="2"/>
  <c r="Q15" i="2"/>
  <c r="S15" i="2"/>
  <c r="R15" i="2"/>
  <c r="K29" i="1"/>
  <c r="L29" i="1"/>
  <c r="J29" i="1"/>
  <c r="E31" i="1"/>
  <c r="E32" i="1"/>
  <c r="F26" i="1"/>
  <c r="F23" i="1"/>
  <c r="F19" i="1"/>
  <c r="F7" i="1"/>
  <c r="F15" i="1"/>
  <c r="F27" i="1"/>
  <c r="F11" i="1"/>
  <c r="F29" i="1"/>
  <c r="F21" i="1"/>
  <c r="F13" i="1"/>
  <c r="F9" i="1"/>
  <c r="F22" i="1"/>
  <c r="F18" i="1"/>
  <c r="F14" i="1"/>
  <c r="F10" i="1"/>
  <c r="F25" i="1"/>
  <c r="F17" i="1"/>
  <c r="F28" i="1"/>
  <c r="F24" i="1"/>
  <c r="F20" i="1"/>
  <c r="F16" i="1"/>
  <c r="F12" i="1"/>
  <c r="F8" i="1"/>
  <c r="C31" i="2"/>
  <c r="C21" i="2"/>
  <c r="G8" i="1"/>
  <c r="G12" i="1"/>
  <c r="G19" i="1"/>
  <c r="G9" i="1"/>
  <c r="G13" i="1"/>
  <c r="G17" i="1"/>
  <c r="G15" i="1"/>
  <c r="G23" i="1"/>
  <c r="G27" i="1"/>
  <c r="C26" i="2"/>
  <c r="G10" i="1"/>
  <c r="G21" i="1"/>
  <c r="G14" i="1"/>
  <c r="G20" i="1"/>
  <c r="G18" i="1"/>
  <c r="G29" i="1"/>
  <c r="G22" i="1"/>
  <c r="G7" i="1"/>
  <c r="G16" i="1"/>
  <c r="G25" i="1"/>
  <c r="G24" i="1"/>
  <c r="G28" i="1"/>
  <c r="G11" i="1"/>
  <c r="F31" i="1"/>
  <c r="J31" i="1"/>
  <c r="C22" i="2"/>
  <c r="L31" i="1"/>
  <c r="C32" i="2"/>
  <c r="K31" i="1"/>
  <c r="C27" i="2"/>
  <c r="G32" i="1"/>
</calcChain>
</file>

<file path=xl/sharedStrings.xml><?xml version="1.0" encoding="utf-8"?>
<sst xmlns="http://schemas.openxmlformats.org/spreadsheetml/2006/main" count="256" uniqueCount="205">
  <si>
    <t>Select language for textile categories:</t>
  </si>
  <si>
    <t>English</t>
  </si>
  <si>
    <t>Danish</t>
  </si>
  <si>
    <t>Swedish</t>
  </si>
  <si>
    <t>Danish1</t>
  </si>
  <si>
    <t>Danish2</t>
  </si>
  <si>
    <t>English1</t>
  </si>
  <si>
    <t>English2</t>
  </si>
  <si>
    <t>Finnish1</t>
  </si>
  <si>
    <t>Finnish2</t>
  </si>
  <si>
    <t>Norwegian1</t>
  </si>
  <si>
    <t>Norwegian2</t>
  </si>
  <si>
    <t>Swedish1</t>
  </si>
  <si>
    <t>Swedish2</t>
  </si>
  <si>
    <t>%-total</t>
  </si>
  <si>
    <t>Tekstilkategorier</t>
  </si>
  <si>
    <t xml:space="preserve">Underkategorier </t>
  </si>
  <si>
    <t>Textile Categories</t>
  </si>
  <si>
    <t>Sub Categories</t>
  </si>
  <si>
    <t>Textilkategorier</t>
  </si>
  <si>
    <t>1)</t>
  </si>
  <si>
    <t>1a</t>
  </si>
  <si>
    <t>Arbejdstøj fra industri, køkken, slagteri, charcuteri, fiskeindustri og lignende</t>
  </si>
  <si>
    <t>Hvidt arbejdstøj fra f.eks. Levnedsmiddelindustrien</t>
  </si>
  <si>
    <t>Workwear for industry, kitchen, slaugherhouse, fishindustry etc.</t>
  </si>
  <si>
    <t>White workwear e.g. for the food industry</t>
  </si>
  <si>
    <t>Arbetskläder till industri, kök, slakteri, fiskeindustri och liknande</t>
  </si>
  <si>
    <t>Vita arbetskläder från t.ex. livsmedelsindustrin</t>
  </si>
  <si>
    <t>1b</t>
  </si>
  <si>
    <t>Køkkentøj</t>
  </si>
  <si>
    <t>Kitchen textiles</t>
  </si>
  <si>
    <t>Kökstextilier och handdukar</t>
  </si>
  <si>
    <t>1c</t>
  </si>
  <si>
    <t>Køkkentøj (inkl. viskestykker, kokkestykker og karklude)</t>
  </si>
  <si>
    <t>Farvet arbejdstøj og  øvrige tekstiler</t>
  </si>
  <si>
    <t xml:space="preserve">Kitchen textiles (incl. kitchen towels, dishcloths, kitchen cloths) </t>
  </si>
  <si>
    <t>Dyed workwear and other textiles</t>
  </si>
  <si>
    <t xml:space="preserve">Kökstextilier (torkdukar och handdukar) </t>
  </si>
  <si>
    <t xml:space="preserve">Färgade arbetskläder och andra textilier  </t>
  </si>
  <si>
    <t>1d</t>
  </si>
  <si>
    <t>Arbejdstøj fra fiskeindustrien</t>
  </si>
  <si>
    <t>Workwear from the fish industry</t>
  </si>
  <si>
    <t>Arbetskläder från fiskeindustrin</t>
  </si>
  <si>
    <t>2)</t>
  </si>
  <si>
    <t>2a</t>
  </si>
  <si>
    <t>Arbejdstøj til institution, handel og service</t>
  </si>
  <si>
    <t>Hvidt</t>
  </si>
  <si>
    <t>Workwear for institutions, trade and service</t>
  </si>
  <si>
    <t>White</t>
  </si>
  <si>
    <t>Arbetskläder till institution/handel/service</t>
  </si>
  <si>
    <t xml:space="preserve">Vitt </t>
  </si>
  <si>
    <t>2b</t>
  </si>
  <si>
    <t>Sko</t>
  </si>
  <si>
    <t>Øvrigt</t>
  </si>
  <si>
    <t>Shoes</t>
  </si>
  <si>
    <t>Other</t>
  </si>
  <si>
    <t>Skor</t>
  </si>
  <si>
    <t>Annat</t>
  </si>
  <si>
    <t>3)</t>
  </si>
  <si>
    <t>3a</t>
  </si>
  <si>
    <t>Hoteltekstil</t>
  </si>
  <si>
    <t>Hotellinned</t>
  </si>
  <si>
    <t>Hotels</t>
  </si>
  <si>
    <t>Hotel linnen</t>
  </si>
  <si>
    <t>Hotell</t>
  </si>
  <si>
    <t>Hotellinne</t>
  </si>
  <si>
    <t>3b</t>
  </si>
  <si>
    <t>Hyttelinned</t>
  </si>
  <si>
    <t>Cabin linen</t>
  </si>
  <si>
    <t>Stuglogilinne</t>
  </si>
  <si>
    <t>4)</t>
  </si>
  <si>
    <t>4a</t>
  </si>
  <si>
    <t>Restaurant</t>
  </si>
  <si>
    <t>Hvide duge</t>
  </si>
  <si>
    <t>Restaurants</t>
  </si>
  <si>
    <t>White tablecloths</t>
  </si>
  <si>
    <t>Restaurang</t>
  </si>
  <si>
    <t xml:space="preserve">Vita dukar  </t>
  </si>
  <si>
    <t>4b</t>
  </si>
  <si>
    <t>Hvide servietter</t>
  </si>
  <si>
    <t>White napkins</t>
  </si>
  <si>
    <t>Vita servetter</t>
  </si>
  <si>
    <t>4c</t>
  </si>
  <si>
    <t>Farvede duge og øvrige tekstiler</t>
  </si>
  <si>
    <t>Dyed tablecloths and other textiles</t>
  </si>
  <si>
    <t>Färgade dukar och andra textilier</t>
  </si>
  <si>
    <t>5)</t>
  </si>
  <si>
    <t>5a</t>
  </si>
  <si>
    <t>Sygehus/plejehjem</t>
  </si>
  <si>
    <t>Blod- og smittetøj</t>
  </si>
  <si>
    <t>Hospitals/care homes</t>
  </si>
  <si>
    <t>Blod clothes' and infected textiles.</t>
  </si>
  <si>
    <t>Sjukhus/vårdhem</t>
  </si>
  <si>
    <t xml:space="preserve">Blodfläckade och nedsmittade textilier </t>
  </si>
  <si>
    <t>5b</t>
  </si>
  <si>
    <t>Øvrige tekstiler</t>
  </si>
  <si>
    <t>Other textiles</t>
  </si>
  <si>
    <t>Andra textilier</t>
  </si>
  <si>
    <t>6)</t>
  </si>
  <si>
    <t>6a</t>
  </si>
  <si>
    <t>Dyner og puder</t>
  </si>
  <si>
    <t>Duvets and pillows</t>
  </si>
  <si>
    <t>Täcken och kuddar</t>
  </si>
  <si>
    <t>7)</t>
  </si>
  <si>
    <t>7a</t>
  </si>
  <si>
    <t>Mopper og rengøringsklude</t>
  </si>
  <si>
    <t>Mops and cleaning wipes/cloths</t>
  </si>
  <si>
    <t>Moppar  och rengöringsdukar</t>
  </si>
  <si>
    <t>8)</t>
  </si>
  <si>
    <t>8a</t>
  </si>
  <si>
    <t>Offshore-måtter</t>
  </si>
  <si>
    <t>Offshore-mats</t>
  </si>
  <si>
    <t>Offshore-mattor</t>
  </si>
  <si>
    <t>9)</t>
  </si>
  <si>
    <t>9a</t>
  </si>
  <si>
    <t>Andre måtter</t>
  </si>
  <si>
    <t>Other mats</t>
  </si>
  <si>
    <t xml:space="preserve">Andra mattor </t>
  </si>
  <si>
    <t>10)</t>
  </si>
  <si>
    <t>10a</t>
  </si>
  <si>
    <t>Håndklæderuller</t>
  </si>
  <si>
    <t>Towel rolls</t>
  </si>
  <si>
    <t>Tyghandduksrullar</t>
  </si>
  <si>
    <t>11)</t>
  </si>
  <si>
    <t>11a</t>
  </si>
  <si>
    <t>Industriklude</t>
  </si>
  <si>
    <t>Industrial wipers</t>
  </si>
  <si>
    <t>Industritorkdukar</t>
  </si>
  <si>
    <t>12)</t>
  </si>
  <si>
    <t>12a</t>
  </si>
  <si>
    <t>Kemisk rens</t>
  </si>
  <si>
    <t>Dry cleaning</t>
  </si>
  <si>
    <t xml:space="preserve">Kemtvätt </t>
  </si>
  <si>
    <t>13)</t>
  </si>
  <si>
    <t>13a</t>
  </si>
  <si>
    <t>Privattøj fra husholdninger/institutioner</t>
  </si>
  <si>
    <t>Textiles from households</t>
  </si>
  <si>
    <t>Privata kläder från hushåll/institutioner</t>
  </si>
  <si>
    <t>13b</t>
  </si>
  <si>
    <t>14)</t>
  </si>
  <si>
    <t>14a</t>
  </si>
  <si>
    <t>Övrigt</t>
  </si>
  <si>
    <t>TOTAL [kg]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</si>
  <si>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-N</t>
    </r>
  </si>
  <si>
    <r>
      <t>kWh/m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-N</t>
    </r>
  </si>
  <si>
    <t>g/kWh</t>
  </si>
  <si>
    <t>kg</t>
  </si>
  <si>
    <t>kWh/kg</t>
  </si>
  <si>
    <t>LPG</t>
  </si>
  <si>
    <t>Pellets</t>
  </si>
  <si>
    <t>dm3
wood chip volume</t>
  </si>
  <si>
    <t>kWh/dm3
wood chip volume</t>
  </si>
  <si>
    <t>Biogas*</t>
  </si>
  <si>
    <r>
      <t>m</t>
    </r>
    <r>
      <rPr>
        <vertAlign val="superscript"/>
        <sz val="10"/>
        <rFont val="Arial"/>
        <family val="2"/>
      </rPr>
      <t>3</t>
    </r>
  </si>
  <si>
    <r>
      <t>kWh/m</t>
    </r>
    <r>
      <rPr>
        <vertAlign val="superscript"/>
        <sz val="10"/>
        <rFont val="Arial"/>
        <family val="2"/>
      </rPr>
      <t>3</t>
    </r>
  </si>
  <si>
    <t>kWh</t>
  </si>
  <si>
    <t>kWh/kWh</t>
  </si>
  <si>
    <t>g/kWh supplied</t>
  </si>
  <si>
    <t>Þ</t>
  </si>
  <si>
    <r>
      <t>CO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eq./kg</t>
    </r>
  </si>
  <si>
    <t>l/kg</t>
  </si>
  <si>
    <r>
      <t>A</t>
    </r>
    <r>
      <rPr>
        <vertAlign val="subscript"/>
        <sz val="11"/>
        <color theme="1"/>
        <rFont val="Calibri"/>
        <family val="2"/>
        <scheme val="minor"/>
      </rPr>
      <t>energi</t>
    </r>
  </si>
  <si>
    <t>TOTAL exklusive kemtvätt [kg]</t>
  </si>
  <si>
    <t>Bränsle/el</t>
  </si>
  <si>
    <t>Naturgas</t>
  </si>
  <si>
    <t>Eldningsolja</t>
  </si>
  <si>
    <t>Petroleum koks</t>
  </si>
  <si>
    <t>Koks</t>
  </si>
  <si>
    <t>Halm</t>
  </si>
  <si>
    <t>Träavfall</t>
  </si>
  <si>
    <t>Träflis</t>
  </si>
  <si>
    <t>Fjärrvärme</t>
  </si>
  <si>
    <t>Elektricitet egenproducerad förnybar</t>
  </si>
  <si>
    <t>Elektricitet inköpt+egenproducerad förnybar</t>
  </si>
  <si>
    <t>Bioolja</t>
  </si>
  <si>
    <t>Energianvändning per bränsle</t>
  </si>
  <si>
    <t>CO2-ekvivalenter per bränsle</t>
  </si>
  <si>
    <t xml:space="preserve">* Om den fysiskt levererade produkten inte är 100% biogas utan en blandningsprodukt från nätet, så ska energifaktorn för naturgas eller den gas som faktiskt levererats användas i beräkningen. </t>
  </si>
  <si>
    <t>Enhet</t>
  </si>
  <si>
    <t>…varav energianvändning för intern rening</t>
  </si>
  <si>
    <t>…varav energianvändning från eventuell VOC-stripper</t>
  </si>
  <si>
    <t>Energi-faktor</t>
  </si>
  <si>
    <t>Energianvändning (per år)</t>
  </si>
  <si>
    <t>Kg (per år)</t>
  </si>
  <si>
    <t>%-exklusive kemtvätt</t>
  </si>
  <si>
    <t>Endast relevant vid användning av el - Avdrag för eventuell rening från inköpt el</t>
  </si>
  <si>
    <t>Endast relevant vid användning av el - Avdrag för eventuell rening från egenproducerad förnybar el</t>
  </si>
  <si>
    <t>Vattenförbrukning</t>
  </si>
  <si>
    <t>Utsläpp av växthusgaser</t>
  </si>
  <si>
    <t>Vattenanvändning</t>
  </si>
  <si>
    <t>Energianvändning</t>
  </si>
  <si>
    <t>Faktorvärden för respektive textilkategori</t>
  </si>
  <si>
    <r>
      <t>G</t>
    </r>
    <r>
      <rPr>
        <vertAlign val="subscript"/>
        <sz val="11"/>
        <color theme="1"/>
        <rFont val="Calibri"/>
        <family val="2"/>
        <scheme val="minor"/>
      </rPr>
      <t>energi</t>
    </r>
    <r>
      <rPr>
        <sz val="11"/>
        <color theme="1"/>
        <rFont val="Calibri"/>
        <family val="2"/>
        <scheme val="minor"/>
      </rPr>
      <t xml:space="preserve"> (gränsvärde)</t>
    </r>
  </si>
  <si>
    <r>
      <t>A</t>
    </r>
    <r>
      <rPr>
        <vertAlign val="subscript"/>
        <sz val="11"/>
        <color theme="1"/>
        <rFont val="Calibri"/>
        <family val="2"/>
        <scheme val="minor"/>
      </rPr>
      <t>vatten</t>
    </r>
  </si>
  <si>
    <r>
      <t>G</t>
    </r>
    <r>
      <rPr>
        <vertAlign val="subscript"/>
        <sz val="11"/>
        <color theme="1"/>
        <rFont val="Calibri"/>
        <family val="2"/>
        <scheme val="minor"/>
      </rPr>
      <t>vatten</t>
    </r>
    <r>
      <rPr>
        <sz val="11"/>
        <color theme="1"/>
        <rFont val="Calibri"/>
        <family val="2"/>
        <scheme val="minor"/>
      </rPr>
      <t xml:space="preserve"> (gränsvärde)</t>
    </r>
  </si>
  <si>
    <r>
      <t>A</t>
    </r>
    <r>
      <rPr>
        <vertAlign val="subscript"/>
        <sz val="11"/>
        <color theme="1"/>
        <rFont val="Calibri"/>
        <family val="2"/>
        <scheme val="minor"/>
      </rPr>
      <t>GHG</t>
    </r>
    <r>
      <rPr>
        <sz val="11"/>
        <color theme="1"/>
        <rFont val="Calibri"/>
        <family val="2"/>
        <scheme val="minor"/>
      </rPr>
      <t xml:space="preserve"> </t>
    </r>
  </si>
  <si>
    <r>
      <t>G</t>
    </r>
    <r>
      <rPr>
        <vertAlign val="subscript"/>
        <sz val="11"/>
        <color theme="1"/>
        <rFont val="Calibri"/>
        <family val="2"/>
        <scheme val="minor"/>
      </rPr>
      <t xml:space="preserve">GHG </t>
    </r>
    <r>
      <rPr>
        <sz val="11"/>
        <color theme="1"/>
        <rFont val="Calibri"/>
        <family val="2"/>
        <scheme val="minor"/>
      </rPr>
      <t>(gränsvärde)</t>
    </r>
  </si>
  <si>
    <r>
      <t>G</t>
    </r>
    <r>
      <rPr>
        <b/>
        <vertAlign val="subscript"/>
        <sz val="10"/>
        <color theme="1"/>
        <rFont val="Arial"/>
        <family val="2"/>
      </rPr>
      <t>Vatten</t>
    </r>
  </si>
  <si>
    <r>
      <t>G</t>
    </r>
    <r>
      <rPr>
        <b/>
        <vertAlign val="subscript"/>
        <sz val="10"/>
        <color theme="1"/>
        <rFont val="Arial"/>
        <family val="2"/>
      </rPr>
      <t>GHG</t>
    </r>
  </si>
  <si>
    <r>
      <t>G</t>
    </r>
    <r>
      <rPr>
        <b/>
        <vertAlign val="subscript"/>
        <sz val="10"/>
        <color theme="1"/>
        <rFont val="Arial"/>
        <family val="2"/>
      </rPr>
      <t>Energi</t>
    </r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</si>
  <si>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-faktor</t>
    </r>
  </si>
  <si>
    <t>Endast relevant vid användning av el - Beräknar mängd inköpt el, dvs "total el" minus "egenproducerad förnybar el"</t>
  </si>
  <si>
    <r>
      <t>F</t>
    </r>
    <r>
      <rPr>
        <b/>
        <vertAlign val="subscript"/>
        <sz val="10"/>
        <color theme="1"/>
        <rFont val="Arial"/>
        <family val="2"/>
      </rPr>
      <t>ENERGI</t>
    </r>
  </si>
  <si>
    <r>
      <t>F</t>
    </r>
    <r>
      <rPr>
        <b/>
        <vertAlign val="subscript"/>
        <sz val="10"/>
        <color theme="1"/>
        <rFont val="Arial"/>
        <family val="2"/>
      </rPr>
      <t>GHG</t>
    </r>
  </si>
  <si>
    <r>
      <t>F</t>
    </r>
    <r>
      <rPr>
        <b/>
        <vertAlign val="subscript"/>
        <sz val="10"/>
        <color theme="1"/>
        <rFont val="Arial"/>
        <family val="2"/>
      </rPr>
      <t>VATTEN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</si>
</sst>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.0%"/>
    <numFmt numFmtId="166" formatCode="_ * #,##0_ ;_ * \-#,##0_ ;_ * &quot;-&quot;??_ ;_ @_ "/>
    <numFmt numFmtId="167" formatCode="_ * #,##0.0_ ;_ * \-#,##0.0_ ;_ * &quot;-&quot;??_ ;_ @_ "/>
    <numFmt numFmtId="168" formatCode="_-* #,##0.0\ _k_r_-;\-* #,##0.0\ _k_r_-;_-* &quot;-&quot;?\ _k_r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 tint="0.499984740745262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 tint="0.499984740745262"/>
      <name val="Arial"/>
      <family val="2"/>
    </font>
    <font>
      <b/>
      <u/>
      <sz val="11"/>
      <color theme="1"/>
      <name val="Calibri"/>
      <family val="2"/>
      <scheme val="minor"/>
    </font>
    <font>
      <vertAlign val="subscript"/>
      <sz val="10"/>
      <name val="Arial"/>
      <family val="2"/>
    </font>
    <font>
      <b/>
      <sz val="10"/>
      <color theme="0"/>
      <name val="Symbol"/>
      <family val="1"/>
      <charset val="2"/>
    </font>
    <font>
      <sz val="8"/>
      <name val="Arial"/>
      <family val="2"/>
    </font>
    <font>
      <vertAlign val="subscript"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theme="0"/>
      <name val="Arial"/>
      <family val="2"/>
    </font>
    <font>
      <b/>
      <vertAlign val="subscript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top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165" fontId="2" fillId="0" borderId="1" xfId="2" applyNumberFormat="1" applyFont="1" applyBorder="1"/>
    <xf numFmtId="166" fontId="2" fillId="0" borderId="1" xfId="1" applyNumberFormat="1" applyFont="1" applyBorder="1"/>
    <xf numFmtId="166" fontId="2" fillId="0" borderId="0" xfId="1" applyNumberFormat="1" applyFont="1" applyBorder="1"/>
    <xf numFmtId="165" fontId="2" fillId="2" borderId="1" xfId="2" applyNumberFormat="1" applyFont="1" applyFill="1" applyBorder="1"/>
    <xf numFmtId="165" fontId="2" fillId="0" borderId="0" xfId="0" applyNumberFormat="1" applyFont="1"/>
    <xf numFmtId="165" fontId="2" fillId="0" borderId="0" xfId="2" applyNumberFormat="1" applyFont="1"/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164" fontId="2" fillId="0" borderId="0" xfId="1" applyFont="1"/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166" fontId="2" fillId="0" borderId="5" xfId="1" applyNumberFormat="1" applyFont="1" applyBorder="1"/>
    <xf numFmtId="166" fontId="2" fillId="0" borderId="7" xfId="1" applyNumberFormat="1" applyFont="1" applyBorder="1"/>
    <xf numFmtId="166" fontId="2" fillId="0" borderId="6" xfId="1" applyNumberFormat="1" applyFont="1" applyBorder="1"/>
    <xf numFmtId="166" fontId="2" fillId="0" borderId="8" xfId="1" applyNumberFormat="1" applyFont="1" applyBorder="1"/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>
      <alignment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4" fontId="7" fillId="0" borderId="0" xfId="1" applyFont="1" applyBorder="1" applyAlignment="1">
      <alignment vertical="center" wrapText="1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>
      <alignment vertical="center" wrapText="1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>
      <alignment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0" xfId="0" applyFont="1" applyBorder="1" applyAlignment="1">
      <alignment vertical="center" wrapText="1"/>
    </xf>
    <xf numFmtId="0" fontId="7" fillId="0" borderId="0" xfId="0" applyFont="1"/>
    <xf numFmtId="0" fontId="7" fillId="0" borderId="18" xfId="0" applyFont="1" applyBorder="1"/>
    <xf numFmtId="0" fontId="7" fillId="0" borderId="19" xfId="0" applyFont="1" applyBorder="1"/>
    <xf numFmtId="0" fontId="10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0" fillId="0" borderId="23" xfId="0" applyBorder="1"/>
    <xf numFmtId="0" fontId="7" fillId="0" borderId="24" xfId="0" applyFont="1" applyBorder="1"/>
    <xf numFmtId="0" fontId="10" fillId="0" borderId="23" xfId="0" applyFont="1" applyBorder="1"/>
    <xf numFmtId="164" fontId="7" fillId="0" borderId="8" xfId="1" applyFont="1" applyBorder="1" applyAlignment="1" applyProtection="1">
      <alignment vertical="center" wrapText="1"/>
      <protection locked="0"/>
    </xf>
    <xf numFmtId="164" fontId="7" fillId="0" borderId="13" xfId="1" applyFont="1" applyBorder="1" applyAlignment="1" applyProtection="1">
      <alignment vertical="center" wrapText="1"/>
      <protection locked="0"/>
    </xf>
    <xf numFmtId="164" fontId="7" fillId="0" borderId="15" xfId="1" applyFont="1" applyBorder="1" applyAlignment="1" applyProtection="1">
      <alignment vertical="center" wrapText="1"/>
      <protection locked="0"/>
    </xf>
    <xf numFmtId="164" fontId="7" fillId="0" borderId="0" xfId="1" applyFont="1" applyBorder="1"/>
    <xf numFmtId="166" fontId="2" fillId="0" borderId="1" xfId="1" applyNumberFormat="1" applyFont="1" applyBorder="1" applyAlignment="1" applyProtection="1">
      <alignment vertical="center" wrapText="1"/>
      <protection locked="0"/>
    </xf>
    <xf numFmtId="166" fontId="2" fillId="0" borderId="1" xfId="1" applyNumberFormat="1" applyFont="1" applyBorder="1" applyProtection="1">
      <protection locked="0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Protection="1">
      <protection locked="0"/>
    </xf>
    <xf numFmtId="164" fontId="2" fillId="0" borderId="0" xfId="1" applyFont="1" applyBorder="1"/>
    <xf numFmtId="164" fontId="2" fillId="0" borderId="0" xfId="1" applyFont="1" applyFill="1" applyBorder="1"/>
    <xf numFmtId="164" fontId="7" fillId="0" borderId="8" xfId="1" applyFont="1" applyBorder="1" applyProtection="1">
      <protection locked="0"/>
    </xf>
    <xf numFmtId="0" fontId="13" fillId="0" borderId="0" xfId="0" applyFont="1"/>
    <xf numFmtId="164" fontId="7" fillId="0" borderId="10" xfId="1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166" fontId="2" fillId="0" borderId="5" xfId="1" applyNumberFormat="1" applyFont="1" applyFill="1" applyBorder="1"/>
    <xf numFmtId="166" fontId="2" fillId="0" borderId="6" xfId="1" applyNumberFormat="1" applyFont="1" applyFill="1" applyBorder="1"/>
    <xf numFmtId="166" fontId="2" fillId="0" borderId="7" xfId="1" applyNumberFormat="1" applyFont="1" applyFill="1" applyBorder="1"/>
    <xf numFmtId="0" fontId="3" fillId="0" borderId="0" xfId="0" applyFont="1"/>
    <xf numFmtId="0" fontId="2" fillId="0" borderId="17" xfId="0" applyFont="1" applyBorder="1" applyAlignment="1">
      <alignment vertical="center" wrapText="1"/>
    </xf>
    <xf numFmtId="0" fontId="2" fillId="0" borderId="28" xfId="0" applyFont="1" applyBorder="1"/>
    <xf numFmtId="0" fontId="2" fillId="2" borderId="5" xfId="0" applyFont="1" applyFill="1" applyBorder="1"/>
    <xf numFmtId="0" fontId="2" fillId="0" borderId="5" xfId="0" applyFont="1" applyBorder="1"/>
    <xf numFmtId="0" fontId="2" fillId="0" borderId="5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3" borderId="0" xfId="0" applyFont="1" applyFill="1" applyAlignment="1">
      <alignment vertical="center" wrapText="1"/>
    </xf>
    <xf numFmtId="164" fontId="7" fillId="0" borderId="0" xfId="1" applyFont="1" applyFill="1" applyBorder="1" applyAlignment="1">
      <alignment vertical="center" wrapText="1"/>
    </xf>
    <xf numFmtId="0" fontId="16" fillId="0" borderId="0" xfId="0" applyFont="1"/>
    <xf numFmtId="9" fontId="7" fillId="0" borderId="0" xfId="0" applyNumberFormat="1" applyFont="1"/>
    <xf numFmtId="9" fontId="0" fillId="0" borderId="0" xfId="0" applyNumberFormat="1"/>
    <xf numFmtId="0" fontId="7" fillId="0" borderId="0" xfId="0" applyFont="1" applyAlignment="1">
      <alignment horizontal="right"/>
    </xf>
    <xf numFmtId="0" fontId="2" fillId="0" borderId="6" xfId="0" applyFont="1" applyBorder="1" applyProtection="1">
      <protection locked="0"/>
    </xf>
    <xf numFmtId="166" fontId="2" fillId="0" borderId="0" xfId="1" applyNumberFormat="1" applyFont="1" applyFill="1" applyBorder="1"/>
    <xf numFmtId="164" fontId="2" fillId="0" borderId="29" xfId="1" applyFont="1" applyFill="1" applyBorder="1"/>
    <xf numFmtId="164" fontId="2" fillId="0" borderId="30" xfId="1" applyFont="1" applyFill="1" applyBorder="1"/>
    <xf numFmtId="164" fontId="2" fillId="0" borderId="17" xfId="1" applyFont="1" applyFill="1" applyBorder="1"/>
    <xf numFmtId="164" fontId="2" fillId="0" borderId="31" xfId="1" applyFont="1" applyFill="1" applyBorder="1"/>
    <xf numFmtId="164" fontId="2" fillId="0" borderId="32" xfId="1" applyFont="1" applyFill="1" applyBorder="1"/>
    <xf numFmtId="164" fontId="2" fillId="0" borderId="33" xfId="1" applyFont="1" applyFill="1" applyBorder="1"/>
    <xf numFmtId="164" fontId="2" fillId="0" borderId="29" xfId="1" applyFont="1" applyBorder="1"/>
    <xf numFmtId="164" fontId="2" fillId="0" borderId="17" xfId="1" applyFont="1" applyBorder="1"/>
    <xf numFmtId="164" fontId="2" fillId="0" borderId="32" xfId="1" applyFont="1" applyBorder="1"/>
    <xf numFmtId="164" fontId="2" fillId="0" borderId="34" xfId="1" applyFont="1" applyBorder="1"/>
    <xf numFmtId="164" fontId="2" fillId="0" borderId="12" xfId="1" applyFont="1" applyFill="1" applyBorder="1"/>
    <xf numFmtId="164" fontId="2" fillId="0" borderId="12" xfId="1" applyFont="1" applyBorder="1"/>
    <xf numFmtId="0" fontId="3" fillId="0" borderId="20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7" fontId="7" fillId="0" borderId="8" xfId="1" applyNumberFormat="1" applyFont="1" applyBorder="1" applyAlignment="1" applyProtection="1">
      <alignment horizontal="center" vertical="center" wrapText="1"/>
      <protection locked="0"/>
    </xf>
    <xf numFmtId="167" fontId="7" fillId="0" borderId="13" xfId="1" applyNumberFormat="1" applyFont="1" applyBorder="1" applyAlignment="1" applyProtection="1">
      <alignment horizontal="center" vertical="center" wrapText="1"/>
      <protection locked="0"/>
    </xf>
    <xf numFmtId="167" fontId="7" fillId="0" borderId="15" xfId="1" applyNumberFormat="1" applyFont="1" applyBorder="1" applyAlignment="1" applyProtection="1">
      <alignment horizontal="center" vertical="center" wrapText="1"/>
      <protection locked="0"/>
    </xf>
    <xf numFmtId="167" fontId="7" fillId="0" borderId="10" xfId="1" applyNumberFormat="1" applyFont="1" applyBorder="1" applyAlignment="1">
      <alignment horizontal="center" vertical="center" wrapText="1"/>
    </xf>
    <xf numFmtId="168" fontId="2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7" fillId="0" borderId="0" xfId="2" applyFont="1" applyFill="1" applyBorder="1"/>
    <xf numFmtId="0" fontId="12" fillId="0" borderId="24" xfId="0" applyFont="1" applyBorder="1" applyAlignment="1">
      <alignment horizontal="center"/>
    </xf>
    <xf numFmtId="0" fontId="0" fillId="0" borderId="25" xfId="0" applyBorder="1"/>
    <xf numFmtId="9" fontId="7" fillId="0" borderId="26" xfId="2" applyFont="1" applyFill="1" applyBorder="1"/>
    <xf numFmtId="0" fontId="12" fillId="0" borderId="27" xfId="0" applyFont="1" applyBorder="1" applyAlignment="1">
      <alignment horizontal="center"/>
    </xf>
    <xf numFmtId="0" fontId="2" fillId="0" borderId="4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7" fillId="0" borderId="0" xfId="0" applyFont="1" applyBorder="1"/>
    <xf numFmtId="0" fontId="0" fillId="0" borderId="0" xfId="0" applyBorder="1"/>
    <xf numFmtId="0" fontId="7" fillId="4" borderId="0" xfId="0" applyFont="1" applyFill="1" applyBorder="1"/>
    <xf numFmtId="164" fontId="7" fillId="0" borderId="0" xfId="0" applyNumberFormat="1" applyFont="1" applyBorder="1"/>
    <xf numFmtId="166" fontId="7" fillId="0" borderId="0" xfId="0" applyNumberFormat="1" applyFont="1" applyBorder="1"/>
    <xf numFmtId="167" fontId="7" fillId="0" borderId="0" xfId="0" applyNumberFormat="1" applyFont="1" applyBorder="1"/>
  </cellXfs>
  <cellStyles count="3">
    <cellStyle name="Normal" xfId="0" builtinId="0"/>
    <cellStyle name="Procent" xfId="2" builtinId="5"/>
    <cellStyle name="Tusental" xfId="1" builtinId="3"/>
  </cellStyles>
  <dxfs count="5">
    <dxf>
      <fill>
        <patternFill>
          <bgColor rgb="FFFF000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7A2FE-0540-4128-883D-794DB356676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2"/>
  <sheetViews>
    <sheetView showGridLines="0" topLeftCell="A3" zoomScaleNormal="100" workbookViewId="0">
      <selection activeCell="L44" sqref="L44"/>
    </sheetView>
  </sheetViews>
  <sheetFormatPr defaultColWidth="9.140625" defaultRowHeight="12.75" x14ac:dyDescent="0.2"/>
  <cols>
    <col min="1" max="1" width="4.28515625" style="1" customWidth="1"/>
    <col min="2" max="2" width="4.42578125" style="1" hidden="1" customWidth="1"/>
    <col min="3" max="3" width="45.5703125" style="2" customWidth="1"/>
    <col min="4" max="4" width="40.85546875" style="2" customWidth="1"/>
    <col min="5" max="5" width="18.5703125" style="2" customWidth="1"/>
    <col min="6" max="6" width="13.5703125" style="2" customWidth="1"/>
    <col min="7" max="7" width="19.140625" style="2" customWidth="1"/>
    <col min="8" max="12" width="9.140625" style="2" customWidth="1"/>
    <col min="13" max="13" width="21.5703125" style="2" customWidth="1"/>
    <col min="14" max="14" width="11.28515625" style="2" customWidth="1"/>
    <col min="15" max="18" width="9.140625" style="2" customWidth="1"/>
    <col min="19" max="19" width="9.140625" style="2"/>
    <col min="20" max="20" width="9.140625" style="2" hidden="1" customWidth="1"/>
    <col min="21" max="21" width="41" style="2" hidden="1" customWidth="1"/>
    <col min="22" max="22" width="52.85546875" style="2" hidden="1" customWidth="1"/>
    <col min="23" max="23" width="57.5703125" style="2" hidden="1" customWidth="1"/>
    <col min="24" max="28" width="41" style="2" hidden="1" customWidth="1"/>
    <col min="29" max="29" width="64.28515625" style="2" hidden="1" customWidth="1"/>
    <col min="30" max="30" width="41" style="2" hidden="1" customWidth="1"/>
    <col min="31" max="16384" width="9.140625" style="2"/>
  </cols>
  <sheetData>
    <row r="1" spans="1:30" ht="6" customHeight="1" x14ac:dyDescent="0.2"/>
    <row r="2" spans="1:30" ht="6" customHeight="1" x14ac:dyDescent="0.2"/>
    <row r="3" spans="1:30" ht="27.75" customHeight="1" x14ac:dyDescent="0.2">
      <c r="C3" s="17" t="s">
        <v>0</v>
      </c>
      <c r="D3" s="73" t="s">
        <v>3</v>
      </c>
      <c r="H3" s="50"/>
      <c r="I3" s="95"/>
      <c r="T3" s="2" t="s">
        <v>2</v>
      </c>
    </row>
    <row r="4" spans="1:30" ht="24.75" customHeight="1" x14ac:dyDescent="0.2">
      <c r="J4" s="86" t="s">
        <v>191</v>
      </c>
      <c r="T4" s="2" t="s">
        <v>1</v>
      </c>
    </row>
    <row r="5" spans="1:30" ht="15.75" customHeight="1" thickBot="1" x14ac:dyDescent="0.25">
      <c r="E5" s="3"/>
      <c r="J5" s="17"/>
      <c r="K5" s="17"/>
      <c r="L5" s="17"/>
      <c r="M5" s="17"/>
      <c r="N5" s="17"/>
      <c r="O5" s="17"/>
      <c r="P5" s="17"/>
      <c r="Q5" s="17"/>
      <c r="R5" s="17"/>
      <c r="T5" s="2" t="s">
        <v>3</v>
      </c>
      <c r="U5" s="2" t="s">
        <v>4</v>
      </c>
      <c r="V5" s="2" t="s">
        <v>5</v>
      </c>
      <c r="W5" s="2" t="s">
        <v>6</v>
      </c>
      <c r="X5" s="2" t="s">
        <v>7</v>
      </c>
      <c r="Y5" s="2" t="s">
        <v>8</v>
      </c>
      <c r="Z5" s="2" t="s">
        <v>9</v>
      </c>
      <c r="AA5" s="2" t="s">
        <v>10</v>
      </c>
      <c r="AB5" s="2" t="s">
        <v>11</v>
      </c>
      <c r="AC5" s="2" t="s">
        <v>12</v>
      </c>
      <c r="AD5" s="2" t="s">
        <v>13</v>
      </c>
    </row>
    <row r="6" spans="1:30" ht="23.25" customHeight="1" thickBot="1" x14ac:dyDescent="0.3">
      <c r="B6" s="4"/>
      <c r="C6" s="5" t="str">
        <f>+HLOOKUP(D3&amp;"1",$U$5:$AF$29,2,FALSE)</f>
        <v>Textilkategorier</v>
      </c>
      <c r="D6" s="5" t="str">
        <f>+HLOOKUP(D3&amp;"2",$U$5:$AF$29,2,FALSE)</f>
        <v xml:space="preserve">Underkategorier </v>
      </c>
      <c r="E6" s="15" t="s">
        <v>183</v>
      </c>
      <c r="F6" s="16" t="s">
        <v>14</v>
      </c>
      <c r="G6" s="16" t="s">
        <v>184</v>
      </c>
      <c r="J6" s="113" t="s">
        <v>202</v>
      </c>
      <c r="K6" s="114" t="s">
        <v>203</v>
      </c>
      <c r="L6" s="115" t="s">
        <v>204</v>
      </c>
      <c r="M6" s="17"/>
      <c r="N6" s="17"/>
      <c r="O6" s="17"/>
      <c r="P6" s="17"/>
      <c r="Q6" s="17"/>
      <c r="R6" s="17"/>
      <c r="U6" s="5" t="s">
        <v>15</v>
      </c>
      <c r="V6" s="5" t="s">
        <v>16</v>
      </c>
      <c r="W6" s="5" t="s">
        <v>17</v>
      </c>
      <c r="X6" s="5" t="s">
        <v>18</v>
      </c>
      <c r="Y6" s="5" t="s">
        <v>17</v>
      </c>
      <c r="Z6" s="5" t="s">
        <v>16</v>
      </c>
      <c r="AA6" s="5" t="s">
        <v>17</v>
      </c>
      <c r="AB6" s="5" t="s">
        <v>16</v>
      </c>
      <c r="AC6" s="5" t="s">
        <v>19</v>
      </c>
      <c r="AD6" s="5" t="s">
        <v>16</v>
      </c>
    </row>
    <row r="7" spans="1:30" ht="13.5" thickBot="1" x14ac:dyDescent="0.25">
      <c r="A7" s="1" t="s">
        <v>20</v>
      </c>
      <c r="B7" s="4" t="s">
        <v>21</v>
      </c>
      <c r="C7" s="129" t="str">
        <f>+HLOOKUP(D3&amp;"1",$U$5:$AF$29,3,FALSE)</f>
        <v>Arbetskläder till industri, kök, slakteri, fiskeindustri och liknande</v>
      </c>
      <c r="D7" s="70" t="str">
        <f>+HLOOKUP(D3&amp;"2",$U$5:$AF$29,3,FALSE)</f>
        <v>Vita arbetskläder från t.ex. livsmedelsindustrin</v>
      </c>
      <c r="E7" s="63"/>
      <c r="F7" s="9" t="str">
        <f>IFERROR(+E7/$E$31,"")</f>
        <v/>
      </c>
      <c r="G7" s="9" t="str">
        <f>IFERROR(+E7/$E$32,"")</f>
        <v/>
      </c>
      <c r="J7" s="101">
        <v>2.1</v>
      </c>
      <c r="K7" s="83">
        <v>385</v>
      </c>
      <c r="L7" s="102">
        <v>19.5</v>
      </c>
      <c r="M7" s="75"/>
      <c r="N7" s="100"/>
      <c r="O7" s="100"/>
      <c r="P7" s="75"/>
      <c r="Q7" s="75"/>
      <c r="R7" s="74"/>
      <c r="U7" s="129" t="s">
        <v>22</v>
      </c>
      <c r="V7" s="68" t="s">
        <v>23</v>
      </c>
      <c r="W7" s="129" t="s">
        <v>24</v>
      </c>
      <c r="X7" s="68" t="s">
        <v>25</v>
      </c>
      <c r="Y7" s="129"/>
      <c r="Z7" s="68"/>
      <c r="AA7" s="129"/>
      <c r="AB7" s="68"/>
      <c r="AC7" s="129" t="s">
        <v>26</v>
      </c>
      <c r="AD7" s="68" t="s">
        <v>27</v>
      </c>
    </row>
    <row r="8" spans="1:30" ht="13.5" thickBot="1" x14ac:dyDescent="0.25">
      <c r="B8" s="4" t="s">
        <v>28</v>
      </c>
      <c r="C8" s="130"/>
      <c r="D8" s="71" t="str">
        <f>+HLOOKUP(D3&amp;"2",$U$5:$AF$29,4,FALSE)</f>
        <v>Kökstextilier och handdukar</v>
      </c>
      <c r="E8" s="63"/>
      <c r="F8" s="9" t="str">
        <f t="shared" ref="F8:F29" si="0">IFERROR(+E8/$E$31,"")</f>
        <v/>
      </c>
      <c r="G8" s="9" t="str">
        <f t="shared" ref="G8:G29" si="1">IFERROR(+E8/$E$32,"")</f>
        <v/>
      </c>
      <c r="J8" s="101">
        <v>2.1</v>
      </c>
      <c r="K8" s="83">
        <v>385</v>
      </c>
      <c r="L8" s="102">
        <v>19.5</v>
      </c>
      <c r="M8" s="75"/>
      <c r="N8" s="100"/>
      <c r="O8" s="100"/>
      <c r="P8" s="75"/>
      <c r="Q8" s="75"/>
      <c r="R8" s="75"/>
      <c r="U8" s="130"/>
      <c r="V8" s="66" t="s">
        <v>29</v>
      </c>
      <c r="W8" s="130"/>
      <c r="X8" s="66" t="s">
        <v>30</v>
      </c>
      <c r="Y8" s="130"/>
      <c r="Z8" s="66"/>
      <c r="AA8" s="130"/>
      <c r="AB8" s="66"/>
      <c r="AC8" s="130"/>
      <c r="AD8" s="66" t="s">
        <v>31</v>
      </c>
    </row>
    <row r="9" spans="1:30" ht="13.5" thickBot="1" x14ac:dyDescent="0.25">
      <c r="B9" s="4" t="s">
        <v>32</v>
      </c>
      <c r="C9" s="132" t="str">
        <f>+HLOOKUP(D3&amp;"1",$U$5:$AF$29,5,FALSE)</f>
        <v xml:space="preserve">Kökstextilier (torkdukar och handdukar) </v>
      </c>
      <c r="D9" s="71" t="str">
        <f>+HLOOKUP(D3&amp;"2",$U$5:$AF$29,5,FALSE)</f>
        <v xml:space="preserve">Färgade arbetskläder och andra textilier  </v>
      </c>
      <c r="E9" s="63"/>
      <c r="F9" s="9" t="str">
        <f t="shared" si="0"/>
        <v/>
      </c>
      <c r="G9" s="9" t="str">
        <f t="shared" si="1"/>
        <v/>
      </c>
      <c r="J9" s="101">
        <v>2.1</v>
      </c>
      <c r="K9" s="83">
        <v>385</v>
      </c>
      <c r="L9" s="102">
        <v>19.5</v>
      </c>
      <c r="M9" s="75"/>
      <c r="N9" s="100"/>
      <c r="O9" s="100"/>
      <c r="P9" s="75"/>
      <c r="Q9" s="75"/>
      <c r="R9" s="75"/>
      <c r="U9" s="132" t="s">
        <v>33</v>
      </c>
      <c r="V9" s="66" t="s">
        <v>34</v>
      </c>
      <c r="W9" s="132" t="s">
        <v>35</v>
      </c>
      <c r="X9" s="66" t="s">
        <v>36</v>
      </c>
      <c r="Y9" s="67"/>
      <c r="Z9" s="66"/>
      <c r="AA9" s="67"/>
      <c r="AB9" s="66"/>
      <c r="AC9" s="67" t="s">
        <v>37</v>
      </c>
      <c r="AD9" s="66" t="s">
        <v>38</v>
      </c>
    </row>
    <row r="10" spans="1:30" ht="13.5" thickBot="1" x14ac:dyDescent="0.25">
      <c r="B10" s="4" t="s">
        <v>39</v>
      </c>
      <c r="C10" s="133"/>
      <c r="D10" s="71" t="str">
        <f>+HLOOKUP(D3&amp;"2",$U$5:$AF$29,6,FALSE)</f>
        <v>Arbetskläder från fiskeindustrin</v>
      </c>
      <c r="E10" s="63"/>
      <c r="F10" s="9" t="str">
        <f t="shared" si="0"/>
        <v/>
      </c>
      <c r="G10" s="9" t="str">
        <f t="shared" si="1"/>
        <v/>
      </c>
      <c r="J10" s="103">
        <v>2.5</v>
      </c>
      <c r="K10" s="84">
        <v>465</v>
      </c>
      <c r="L10" s="104">
        <v>19.5</v>
      </c>
      <c r="M10" s="75"/>
      <c r="N10" s="100"/>
      <c r="O10" s="100"/>
      <c r="P10" s="75"/>
      <c r="Q10" s="75"/>
      <c r="R10" s="75"/>
      <c r="U10" s="133"/>
      <c r="V10" s="66" t="s">
        <v>40</v>
      </c>
      <c r="W10" s="133"/>
      <c r="X10" s="66" t="s">
        <v>41</v>
      </c>
      <c r="Y10" s="68"/>
      <c r="Z10" s="66"/>
      <c r="AA10" s="68"/>
      <c r="AB10" s="66"/>
      <c r="AC10" s="68"/>
      <c r="AD10" s="66" t="s">
        <v>42</v>
      </c>
    </row>
    <row r="11" spans="1:30" ht="13.5" thickBot="1" x14ac:dyDescent="0.25">
      <c r="A11" s="1" t="s">
        <v>43</v>
      </c>
      <c r="B11" s="4" t="s">
        <v>44</v>
      </c>
      <c r="C11" s="65" t="str">
        <f>+HLOOKUP(D3&amp;"1",$U$5:$AF$29,7,FALSE)</f>
        <v>Arbetskläder till institution/handel/service</v>
      </c>
      <c r="D11" s="71" t="str">
        <f>+HLOOKUP(D3&amp;"2",$U$5:$AF$29,7,FALSE)</f>
        <v xml:space="preserve">Vitt </v>
      </c>
      <c r="E11" s="63"/>
      <c r="F11" s="9" t="str">
        <f t="shared" si="0"/>
        <v/>
      </c>
      <c r="G11" s="9" t="str">
        <f t="shared" si="1"/>
        <v/>
      </c>
      <c r="J11" s="105">
        <v>1.75</v>
      </c>
      <c r="K11" s="85">
        <v>310</v>
      </c>
      <c r="L11" s="106">
        <v>16.5</v>
      </c>
      <c r="M11" s="75"/>
      <c r="N11" s="100"/>
      <c r="O11" s="100"/>
      <c r="P11" s="75"/>
      <c r="Q11" s="75"/>
      <c r="R11" s="75"/>
      <c r="U11" s="65" t="s">
        <v>45</v>
      </c>
      <c r="V11" s="66" t="s">
        <v>46</v>
      </c>
      <c r="W11" s="65" t="s">
        <v>47</v>
      </c>
      <c r="X11" s="66" t="s">
        <v>48</v>
      </c>
      <c r="Y11" s="65"/>
      <c r="Z11" s="66"/>
      <c r="AA11" s="65"/>
      <c r="AB11" s="66"/>
      <c r="AC11" s="65" t="s">
        <v>49</v>
      </c>
      <c r="AD11" s="66" t="s">
        <v>50</v>
      </c>
    </row>
    <row r="12" spans="1:30" ht="13.5" thickBot="1" x14ac:dyDescent="0.25">
      <c r="B12" s="4" t="s">
        <v>51</v>
      </c>
      <c r="C12" s="68" t="str">
        <f>+HLOOKUP(D3&amp;"1",$U$5:$AF$29,8,FALSE)</f>
        <v>Skor</v>
      </c>
      <c r="D12" s="71" t="str">
        <f>+HLOOKUP(D3&amp;"2",$U$5:$AF$29,8,FALSE)</f>
        <v>Annat</v>
      </c>
      <c r="E12" s="63"/>
      <c r="F12" s="9" t="str">
        <f t="shared" si="0"/>
        <v/>
      </c>
      <c r="G12" s="9" t="str">
        <f t="shared" si="1"/>
        <v/>
      </c>
      <c r="J12" s="103">
        <v>1.75</v>
      </c>
      <c r="K12" s="84">
        <v>310</v>
      </c>
      <c r="L12" s="104">
        <v>16.5</v>
      </c>
      <c r="M12" s="75"/>
      <c r="N12" s="100"/>
      <c r="O12" s="100"/>
      <c r="P12" s="75"/>
      <c r="Q12" s="75"/>
      <c r="R12" s="74"/>
      <c r="U12" s="68" t="s">
        <v>52</v>
      </c>
      <c r="V12" s="66" t="s">
        <v>53</v>
      </c>
      <c r="W12" s="68" t="s">
        <v>54</v>
      </c>
      <c r="X12" s="66" t="s">
        <v>55</v>
      </c>
      <c r="Y12" s="68"/>
      <c r="Z12" s="66"/>
      <c r="AA12" s="68"/>
      <c r="AB12" s="66"/>
      <c r="AC12" s="68" t="s">
        <v>56</v>
      </c>
      <c r="AD12" s="66" t="s">
        <v>57</v>
      </c>
    </row>
    <row r="13" spans="1:30" ht="13.5" thickBot="1" x14ac:dyDescent="0.25">
      <c r="A13" s="1" t="s">
        <v>58</v>
      </c>
      <c r="B13" s="4" t="s">
        <v>59</v>
      </c>
      <c r="C13" s="129" t="str">
        <f>+HLOOKUP(D3&amp;"1",$U$5:$AF$29,9,FALSE)</f>
        <v>Hotell</v>
      </c>
      <c r="D13" s="71" t="str">
        <f>+HLOOKUP(D3&amp;"2",$U$5:$AF$29,9,FALSE)</f>
        <v>Hotellinne</v>
      </c>
      <c r="E13" s="63"/>
      <c r="F13" s="9" t="str">
        <f t="shared" si="0"/>
        <v/>
      </c>
      <c r="G13" s="9" t="str">
        <f t="shared" si="1"/>
        <v/>
      </c>
      <c r="J13" s="105">
        <v>1.45</v>
      </c>
      <c r="K13" s="85">
        <v>255</v>
      </c>
      <c r="L13" s="106">
        <v>13.5</v>
      </c>
      <c r="M13" s="75"/>
      <c r="N13" s="100"/>
      <c r="O13" s="100"/>
      <c r="P13" s="75"/>
      <c r="Q13" s="75"/>
      <c r="R13" s="74"/>
      <c r="U13" s="129" t="s">
        <v>60</v>
      </c>
      <c r="V13" s="66" t="s">
        <v>61</v>
      </c>
      <c r="W13" s="129" t="s">
        <v>62</v>
      </c>
      <c r="X13" s="66" t="s">
        <v>63</v>
      </c>
      <c r="Y13" s="129"/>
      <c r="Z13" s="66"/>
      <c r="AA13" s="129"/>
      <c r="AB13" s="66"/>
      <c r="AC13" s="129" t="s">
        <v>64</v>
      </c>
      <c r="AD13" s="66" t="s">
        <v>65</v>
      </c>
    </row>
    <row r="14" spans="1:30" ht="13.5" thickBot="1" x14ac:dyDescent="0.25">
      <c r="B14" s="4" t="s">
        <v>66</v>
      </c>
      <c r="C14" s="131"/>
      <c r="D14" s="71" t="str">
        <f>+HLOOKUP(D3&amp;"2",$U$5:$AF$29,10,FALSE)</f>
        <v>Stuglogilinne</v>
      </c>
      <c r="E14" s="63"/>
      <c r="F14" s="9" t="str">
        <f t="shared" si="0"/>
        <v/>
      </c>
      <c r="G14" s="9" t="str">
        <f t="shared" si="1"/>
        <v/>
      </c>
      <c r="J14" s="103">
        <v>1.7</v>
      </c>
      <c r="K14" s="84">
        <v>305</v>
      </c>
      <c r="L14" s="104">
        <v>13.5</v>
      </c>
      <c r="M14" s="75"/>
      <c r="N14" s="100"/>
      <c r="O14" s="100"/>
      <c r="P14" s="75"/>
      <c r="Q14" s="75"/>
      <c r="R14" s="74"/>
      <c r="U14" s="131"/>
      <c r="V14" s="66" t="s">
        <v>67</v>
      </c>
      <c r="W14" s="131"/>
      <c r="X14" s="66" t="s">
        <v>68</v>
      </c>
      <c r="Y14" s="131"/>
      <c r="Z14" s="66"/>
      <c r="AA14" s="131"/>
      <c r="AB14" s="66"/>
      <c r="AC14" s="131"/>
      <c r="AD14" s="66" t="s">
        <v>69</v>
      </c>
    </row>
    <row r="15" spans="1:30" ht="13.5" thickBot="1" x14ac:dyDescent="0.25">
      <c r="A15" s="1" t="s">
        <v>70</v>
      </c>
      <c r="B15" s="4" t="s">
        <v>71</v>
      </c>
      <c r="C15" s="129" t="str">
        <f>+HLOOKUP(D3&amp;"1",$U$5:$AF$29,11,FALSE)</f>
        <v>Restaurang</v>
      </c>
      <c r="D15" s="71" t="str">
        <f>+HLOOKUP(D3&amp;"2",$U$5:$AF$29,11,FALSE)</f>
        <v xml:space="preserve">Vita dukar  </v>
      </c>
      <c r="E15" s="63"/>
      <c r="F15" s="9" t="str">
        <f t="shared" si="0"/>
        <v/>
      </c>
      <c r="G15" s="9" t="str">
        <f t="shared" si="1"/>
        <v/>
      </c>
      <c r="J15" s="105">
        <v>2.25</v>
      </c>
      <c r="K15" s="85">
        <v>420</v>
      </c>
      <c r="L15" s="106">
        <v>17</v>
      </c>
      <c r="M15" s="75"/>
      <c r="N15" s="100"/>
      <c r="O15" s="100"/>
      <c r="P15" s="75"/>
      <c r="Q15" s="75"/>
      <c r="R15" s="74"/>
      <c r="U15" s="129" t="s">
        <v>72</v>
      </c>
      <c r="V15" s="66" t="s">
        <v>73</v>
      </c>
      <c r="W15" s="129" t="s">
        <v>74</v>
      </c>
      <c r="X15" s="66" t="s">
        <v>75</v>
      </c>
      <c r="Y15" s="129"/>
      <c r="Z15" s="66"/>
      <c r="AA15" s="129"/>
      <c r="AB15" s="66"/>
      <c r="AC15" s="129" t="s">
        <v>76</v>
      </c>
      <c r="AD15" s="66" t="s">
        <v>77</v>
      </c>
    </row>
    <row r="16" spans="1:30" ht="13.5" thickBot="1" x14ac:dyDescent="0.25">
      <c r="B16" s="4" t="s">
        <v>78</v>
      </c>
      <c r="C16" s="132"/>
      <c r="D16" s="71" t="str">
        <f>+HLOOKUP(D3&amp;"2",$U$5:$AF$29,12,FALSE)</f>
        <v>Vita servetter</v>
      </c>
      <c r="E16" s="63"/>
      <c r="F16" s="9" t="str">
        <f t="shared" si="0"/>
        <v/>
      </c>
      <c r="G16" s="9" t="str">
        <f t="shared" si="1"/>
        <v/>
      </c>
      <c r="J16" s="107">
        <v>2.25</v>
      </c>
      <c r="K16" s="21">
        <v>420</v>
      </c>
      <c r="L16" s="102">
        <v>17</v>
      </c>
      <c r="M16" s="75"/>
      <c r="N16" s="100"/>
      <c r="O16" s="100"/>
      <c r="P16" s="75"/>
      <c r="Q16" s="75"/>
      <c r="R16" s="74"/>
      <c r="U16" s="132"/>
      <c r="V16" s="66" t="s">
        <v>79</v>
      </c>
      <c r="W16" s="132"/>
      <c r="X16" s="66" t="s">
        <v>80</v>
      </c>
      <c r="Y16" s="132"/>
      <c r="Z16" s="66"/>
      <c r="AA16" s="132"/>
      <c r="AB16" s="66"/>
      <c r="AC16" s="132"/>
      <c r="AD16" s="66" t="s">
        <v>81</v>
      </c>
    </row>
    <row r="17" spans="1:30" ht="13.5" thickBot="1" x14ac:dyDescent="0.25">
      <c r="B17" s="4" t="s">
        <v>82</v>
      </c>
      <c r="C17" s="131"/>
      <c r="D17" s="71" t="str">
        <f>+HLOOKUP(D3&amp;"2",$U$5:$AF$29,13,FALSE)</f>
        <v>Färgade dukar och andra textilier</v>
      </c>
      <c r="E17" s="63"/>
      <c r="F17" s="9" t="str">
        <f t="shared" si="0"/>
        <v/>
      </c>
      <c r="G17" s="9" t="str">
        <f t="shared" si="1"/>
        <v/>
      </c>
      <c r="J17" s="108">
        <v>2.25</v>
      </c>
      <c r="K17" s="23">
        <v>420</v>
      </c>
      <c r="L17" s="104">
        <v>17</v>
      </c>
      <c r="M17" s="75"/>
      <c r="N17" s="100"/>
      <c r="O17" s="100"/>
      <c r="P17" s="75"/>
      <c r="Q17" s="75"/>
      <c r="R17" s="74"/>
      <c r="U17" s="131"/>
      <c r="V17" s="66" t="s">
        <v>83</v>
      </c>
      <c r="W17" s="131"/>
      <c r="X17" s="66" t="s">
        <v>84</v>
      </c>
      <c r="Y17" s="131"/>
      <c r="Z17" s="66"/>
      <c r="AA17" s="131"/>
      <c r="AB17" s="66"/>
      <c r="AC17" s="131"/>
      <c r="AD17" s="66" t="s">
        <v>85</v>
      </c>
    </row>
    <row r="18" spans="1:30" ht="13.5" thickBot="1" x14ac:dyDescent="0.25">
      <c r="A18" s="1" t="s">
        <v>86</v>
      </c>
      <c r="B18" s="4" t="s">
        <v>87</v>
      </c>
      <c r="C18" s="129" t="str">
        <f>+HLOOKUP(D3&amp;"1",$U$5:$AF$29,14,FALSE)</f>
        <v>Sjukhus/vårdhem</v>
      </c>
      <c r="D18" s="71" t="str">
        <f>+HLOOKUP(D3&amp;"2",$U$5:$AF$29,14,FALSE)</f>
        <v xml:space="preserve">Blodfläckade och nedsmittade textilier </v>
      </c>
      <c r="E18" s="63"/>
      <c r="F18" s="9" t="str">
        <f>IFERROR(+E18/$E$31,"")</f>
        <v/>
      </c>
      <c r="G18" s="9" t="str">
        <f>IFERROR(+E18/$E$32,"")</f>
        <v/>
      </c>
      <c r="J18" s="109">
        <v>2.25</v>
      </c>
      <c r="K18" s="22">
        <v>415</v>
      </c>
      <c r="L18" s="106">
        <v>13.5</v>
      </c>
      <c r="M18" s="75"/>
      <c r="N18" s="100"/>
      <c r="O18" s="100"/>
      <c r="P18" s="75"/>
      <c r="Q18" s="75"/>
      <c r="R18" s="74"/>
      <c r="U18" s="129" t="s">
        <v>88</v>
      </c>
      <c r="V18" s="66" t="s">
        <v>89</v>
      </c>
      <c r="W18" s="129" t="s">
        <v>90</v>
      </c>
      <c r="X18" s="69" t="s">
        <v>91</v>
      </c>
      <c r="Y18" s="129"/>
      <c r="Z18" s="66"/>
      <c r="AA18" s="129"/>
      <c r="AB18" s="66"/>
      <c r="AC18" s="129" t="s">
        <v>92</v>
      </c>
      <c r="AD18" s="66" t="s">
        <v>93</v>
      </c>
    </row>
    <row r="19" spans="1:30" ht="13.5" thickBot="1" x14ac:dyDescent="0.25">
      <c r="B19" s="4" t="s">
        <v>94</v>
      </c>
      <c r="C19" s="131"/>
      <c r="D19" s="71" t="str">
        <f>+HLOOKUP(D3&amp;"2",$U$5:$AF$29,15,FALSE)</f>
        <v>Andra textilier</v>
      </c>
      <c r="E19" s="63"/>
      <c r="F19" s="9" t="str">
        <f>IFERROR(+E19/$E$31,"")</f>
        <v/>
      </c>
      <c r="G19" s="9" t="str">
        <f>IFERROR(+E19/$E$32,"")</f>
        <v/>
      </c>
      <c r="J19" s="108">
        <v>2.1</v>
      </c>
      <c r="K19" s="23">
        <v>385</v>
      </c>
      <c r="L19" s="104">
        <v>13.5</v>
      </c>
      <c r="M19" s="75"/>
      <c r="N19" s="100"/>
      <c r="O19" s="100"/>
      <c r="P19" s="75"/>
      <c r="Q19" s="75"/>
      <c r="R19" s="74"/>
      <c r="U19" s="131"/>
      <c r="V19" s="66" t="s">
        <v>95</v>
      </c>
      <c r="W19" s="131"/>
      <c r="X19" s="66" t="s">
        <v>96</v>
      </c>
      <c r="Y19" s="131"/>
      <c r="Z19" s="66"/>
      <c r="AA19" s="131"/>
      <c r="AB19" s="66"/>
      <c r="AC19" s="131"/>
      <c r="AD19" s="66" t="s">
        <v>97</v>
      </c>
    </row>
    <row r="20" spans="1:30" ht="13.5" thickBot="1" x14ac:dyDescent="0.25">
      <c r="A20" s="1" t="s">
        <v>98</v>
      </c>
      <c r="B20" s="4" t="s">
        <v>99</v>
      </c>
      <c r="C20" s="68" t="str">
        <f>+HLOOKUP(D3&amp;"1",$U$5:$AF$29,16,FALSE)</f>
        <v>Täcken och kuddar</v>
      </c>
      <c r="D20" s="71"/>
      <c r="E20" s="63"/>
      <c r="F20" s="9" t="str">
        <f t="shared" si="0"/>
        <v/>
      </c>
      <c r="G20" s="9" t="str">
        <f t="shared" si="1"/>
        <v/>
      </c>
      <c r="J20" s="110">
        <v>2.5</v>
      </c>
      <c r="K20" s="24">
        <v>465</v>
      </c>
      <c r="L20" s="111">
        <v>24</v>
      </c>
      <c r="M20" s="75"/>
      <c r="N20" s="100"/>
      <c r="O20" s="100"/>
      <c r="P20" s="75"/>
      <c r="Q20" s="75"/>
      <c r="R20" s="74"/>
      <c r="U20" s="68" t="s">
        <v>100</v>
      </c>
      <c r="V20" s="66"/>
      <c r="W20" s="68" t="s">
        <v>101</v>
      </c>
      <c r="X20" s="66"/>
      <c r="Y20" s="68"/>
      <c r="Z20" s="66"/>
      <c r="AA20" s="68"/>
      <c r="AB20" s="66"/>
      <c r="AC20" s="68" t="s">
        <v>102</v>
      </c>
      <c r="AD20" s="66"/>
    </row>
    <row r="21" spans="1:30" ht="13.5" thickBot="1" x14ac:dyDescent="0.25">
      <c r="A21" s="1" t="s">
        <v>103</v>
      </c>
      <c r="B21" s="4" t="s">
        <v>104</v>
      </c>
      <c r="C21" s="68" t="str">
        <f>+HLOOKUP(D3&amp;"1",$U$5:$AF$29,17,FALSE)</f>
        <v>Moppar  och rengöringsdukar</v>
      </c>
      <c r="D21" s="71"/>
      <c r="E21" s="63"/>
      <c r="F21" s="9" t="str">
        <f t="shared" si="0"/>
        <v/>
      </c>
      <c r="G21" s="9" t="str">
        <f t="shared" si="1"/>
        <v/>
      </c>
      <c r="J21" s="110">
        <v>2.15</v>
      </c>
      <c r="K21" s="24">
        <v>395</v>
      </c>
      <c r="L21" s="111">
        <v>17</v>
      </c>
      <c r="M21" s="75"/>
      <c r="N21" s="100"/>
      <c r="O21" s="100"/>
      <c r="P21" s="75"/>
      <c r="Q21" s="75"/>
      <c r="R21" s="74"/>
      <c r="U21" s="68" t="s">
        <v>105</v>
      </c>
      <c r="V21" s="66"/>
      <c r="W21" s="68" t="s">
        <v>106</v>
      </c>
      <c r="X21" s="66"/>
      <c r="Y21" s="68"/>
      <c r="Z21" s="66"/>
      <c r="AA21" s="68"/>
      <c r="AB21" s="66"/>
      <c r="AC21" s="68" t="s">
        <v>107</v>
      </c>
      <c r="AD21" s="66"/>
    </row>
    <row r="22" spans="1:30" ht="13.5" thickBot="1" x14ac:dyDescent="0.25">
      <c r="A22" s="1" t="s">
        <v>108</v>
      </c>
      <c r="B22" s="4" t="s">
        <v>109</v>
      </c>
      <c r="C22" s="68" t="str">
        <f>+HLOOKUP(D3&amp;"1",$U$5:$AF$29,18,FALSE)</f>
        <v>Offshore-mattor</v>
      </c>
      <c r="D22" s="71"/>
      <c r="E22" s="63"/>
      <c r="F22" s="9" t="str">
        <f t="shared" si="0"/>
        <v/>
      </c>
      <c r="G22" s="9" t="str">
        <f t="shared" si="1"/>
        <v/>
      </c>
      <c r="J22" s="110">
        <v>0.8</v>
      </c>
      <c r="K22" s="24">
        <v>140</v>
      </c>
      <c r="L22" s="111">
        <v>7</v>
      </c>
      <c r="M22" s="75"/>
      <c r="N22" s="100"/>
      <c r="O22" s="100"/>
      <c r="P22" s="75"/>
      <c r="Q22" s="75"/>
      <c r="R22" s="74"/>
      <c r="U22" s="68" t="s">
        <v>110</v>
      </c>
      <c r="V22" s="66"/>
      <c r="W22" s="68" t="s">
        <v>111</v>
      </c>
      <c r="X22" s="66"/>
      <c r="Y22" s="68"/>
      <c r="Z22" s="66"/>
      <c r="AA22" s="68"/>
      <c r="AB22" s="66"/>
      <c r="AC22" s="68" t="s">
        <v>112</v>
      </c>
      <c r="AD22" s="66"/>
    </row>
    <row r="23" spans="1:30" ht="13.5" thickBot="1" x14ac:dyDescent="0.25">
      <c r="A23" s="1" t="s">
        <v>113</v>
      </c>
      <c r="B23" s="4" t="s">
        <v>114</v>
      </c>
      <c r="C23" s="68" t="str">
        <f>+HLOOKUP(D3&amp;"1",$U$5:$AF$29,19,FALSE)</f>
        <v xml:space="preserve">Andra mattor </v>
      </c>
      <c r="D23" s="71"/>
      <c r="E23" s="63"/>
      <c r="F23" s="9" t="str">
        <f t="shared" si="0"/>
        <v/>
      </c>
      <c r="G23" s="9" t="str">
        <f t="shared" si="1"/>
        <v/>
      </c>
      <c r="J23" s="110">
        <v>0.7</v>
      </c>
      <c r="K23" s="24">
        <v>120</v>
      </c>
      <c r="L23" s="111">
        <v>6.5</v>
      </c>
      <c r="M23" s="75"/>
      <c r="N23" s="100"/>
      <c r="O23" s="100"/>
      <c r="P23" s="75"/>
      <c r="Q23" s="75"/>
      <c r="R23" s="74"/>
      <c r="U23" s="68" t="s">
        <v>115</v>
      </c>
      <c r="V23" s="66"/>
      <c r="W23" s="68" t="s">
        <v>116</v>
      </c>
      <c r="X23" s="66"/>
      <c r="Y23" s="68"/>
      <c r="Z23" s="66"/>
      <c r="AA23" s="68"/>
      <c r="AB23" s="66"/>
      <c r="AC23" s="68" t="s">
        <v>117</v>
      </c>
      <c r="AD23" s="66"/>
    </row>
    <row r="24" spans="1:30" ht="13.5" thickBot="1" x14ac:dyDescent="0.25">
      <c r="A24" s="1" t="s">
        <v>118</v>
      </c>
      <c r="B24" s="4" t="s">
        <v>119</v>
      </c>
      <c r="C24" s="68" t="str">
        <f>+HLOOKUP(D3&amp;"1",$U$5:$AF$29,20,FALSE)</f>
        <v>Tyghandduksrullar</v>
      </c>
      <c r="D24" s="71"/>
      <c r="E24" s="63"/>
      <c r="F24" s="9" t="str">
        <f t="shared" si="0"/>
        <v/>
      </c>
      <c r="G24" s="9" t="str">
        <f t="shared" si="1"/>
        <v/>
      </c>
      <c r="J24" s="110">
        <v>1.7</v>
      </c>
      <c r="K24" s="24">
        <v>300</v>
      </c>
      <c r="L24" s="111">
        <v>12</v>
      </c>
      <c r="M24" s="75"/>
      <c r="N24" s="100"/>
      <c r="O24" s="100"/>
      <c r="P24" s="75"/>
      <c r="Q24" s="75"/>
      <c r="R24" s="74"/>
      <c r="U24" s="68" t="s">
        <v>120</v>
      </c>
      <c r="V24" s="66"/>
      <c r="W24" s="68" t="s">
        <v>121</v>
      </c>
      <c r="X24" s="66"/>
      <c r="Y24" s="68"/>
      <c r="Z24" s="66"/>
      <c r="AA24" s="68"/>
      <c r="AB24" s="66"/>
      <c r="AC24" s="68" t="s">
        <v>122</v>
      </c>
      <c r="AD24" s="66"/>
    </row>
    <row r="25" spans="1:30" ht="13.5" thickBot="1" x14ac:dyDescent="0.25">
      <c r="A25" s="1" t="s">
        <v>123</v>
      </c>
      <c r="B25" s="4" t="s">
        <v>124</v>
      </c>
      <c r="C25" s="68" t="str">
        <f>+HLOOKUP(D3&amp;"1",$U$5:$AF$29,21,FALSE)</f>
        <v>Industritorkdukar</v>
      </c>
      <c r="D25" s="71"/>
      <c r="E25" s="63"/>
      <c r="F25" s="9" t="str">
        <f t="shared" si="0"/>
        <v/>
      </c>
      <c r="G25" s="9" t="str">
        <f t="shared" si="1"/>
        <v/>
      </c>
      <c r="J25" s="110">
        <v>3.1</v>
      </c>
      <c r="K25" s="24">
        <v>590</v>
      </c>
      <c r="L25" s="111">
        <v>11</v>
      </c>
      <c r="M25" s="75"/>
      <c r="N25" s="100"/>
      <c r="O25" s="100"/>
      <c r="P25" s="75"/>
      <c r="Q25" s="75"/>
      <c r="R25" s="74"/>
      <c r="U25" s="68" t="s">
        <v>125</v>
      </c>
      <c r="V25" s="66"/>
      <c r="W25" s="68" t="s">
        <v>126</v>
      </c>
      <c r="X25" s="66"/>
      <c r="Y25" s="68"/>
      <c r="Z25" s="66"/>
      <c r="AA25" s="68"/>
      <c r="AB25" s="66"/>
      <c r="AC25" s="68" t="s">
        <v>127</v>
      </c>
      <c r="AD25" s="66"/>
    </row>
    <row r="26" spans="1:30" ht="13.5" thickBot="1" x14ac:dyDescent="0.25">
      <c r="A26" s="1" t="s">
        <v>128</v>
      </c>
      <c r="B26" s="4" t="s">
        <v>129</v>
      </c>
      <c r="C26" s="68" t="str">
        <f>+HLOOKUP(D3&amp;"1",$U$5:$AF$29,22,FALSE)</f>
        <v xml:space="preserve">Kemtvätt </v>
      </c>
      <c r="D26" s="71"/>
      <c r="E26" s="63"/>
      <c r="F26" s="9" t="str">
        <f>IFERROR(+E26/$E$31,"")</f>
        <v/>
      </c>
      <c r="G26" s="12"/>
      <c r="J26" s="110">
        <v>0</v>
      </c>
      <c r="K26" s="24">
        <v>0</v>
      </c>
      <c r="L26" s="111">
        <v>0</v>
      </c>
      <c r="M26" s="75"/>
      <c r="N26" s="100"/>
      <c r="O26" s="100"/>
      <c r="P26" s="75"/>
      <c r="Q26" s="75"/>
      <c r="R26" s="74"/>
      <c r="U26" s="68" t="s">
        <v>130</v>
      </c>
      <c r="V26" s="66"/>
      <c r="W26" s="68" t="s">
        <v>131</v>
      </c>
      <c r="X26" s="66"/>
      <c r="Y26" s="68"/>
      <c r="Z26" s="66"/>
      <c r="AA26" s="68"/>
      <c r="AB26" s="66"/>
      <c r="AC26" s="68" t="s">
        <v>132</v>
      </c>
      <c r="AD26" s="66"/>
    </row>
    <row r="27" spans="1:30" ht="13.5" thickBot="1" x14ac:dyDescent="0.25">
      <c r="A27" s="1" t="s">
        <v>133</v>
      </c>
      <c r="B27" s="4" t="s">
        <v>134</v>
      </c>
      <c r="C27" s="129" t="str">
        <f>+HLOOKUP(D3&amp;"1",$U$5:$AF$29,23,FALSE)</f>
        <v>Privata kläder från hushåll/institutioner</v>
      </c>
      <c r="D27" s="71" t="str">
        <f>+HLOOKUP(D3&amp;"2",$U$5:$AF$29,23,FALSE)</f>
        <v xml:space="preserve">Vitt </v>
      </c>
      <c r="E27" s="63"/>
      <c r="F27" s="9" t="str">
        <f t="shared" si="0"/>
        <v/>
      </c>
      <c r="G27" s="9" t="str">
        <f t="shared" si="1"/>
        <v/>
      </c>
      <c r="J27" s="109">
        <v>2.75</v>
      </c>
      <c r="K27" s="22">
        <v>515</v>
      </c>
      <c r="L27" s="106">
        <v>17</v>
      </c>
      <c r="M27" s="75"/>
      <c r="N27" s="100"/>
      <c r="O27" s="100"/>
      <c r="P27" s="75"/>
      <c r="Q27" s="75"/>
      <c r="R27" s="74"/>
      <c r="U27" s="129" t="s">
        <v>135</v>
      </c>
      <c r="V27" s="66" t="s">
        <v>46</v>
      </c>
      <c r="W27" s="129" t="s">
        <v>136</v>
      </c>
      <c r="X27" s="66" t="s">
        <v>48</v>
      </c>
      <c r="Y27" s="129"/>
      <c r="Z27" s="66"/>
      <c r="AA27" s="129"/>
      <c r="AB27" s="66"/>
      <c r="AC27" s="129" t="s">
        <v>137</v>
      </c>
      <c r="AD27" s="66" t="s">
        <v>50</v>
      </c>
    </row>
    <row r="28" spans="1:30" ht="13.5" thickBot="1" x14ac:dyDescent="0.25">
      <c r="B28" s="4" t="s">
        <v>138</v>
      </c>
      <c r="C28" s="131"/>
      <c r="D28" s="71" t="str">
        <f>+HLOOKUP(D3&amp;"2",$U$5:$AF$29,24,FALSE)</f>
        <v>Annat</v>
      </c>
      <c r="E28" s="63"/>
      <c r="F28" s="9" t="str">
        <f t="shared" si="0"/>
        <v/>
      </c>
      <c r="G28" s="9" t="str">
        <f t="shared" si="1"/>
        <v/>
      </c>
      <c r="J28" s="108">
        <v>2.75</v>
      </c>
      <c r="K28" s="23">
        <v>515</v>
      </c>
      <c r="L28" s="104">
        <v>17</v>
      </c>
      <c r="M28" s="75"/>
      <c r="N28" s="100"/>
      <c r="O28" s="100"/>
      <c r="P28" s="75"/>
      <c r="Q28" s="75"/>
      <c r="R28" s="74"/>
      <c r="U28" s="131"/>
      <c r="V28" s="66" t="s">
        <v>53</v>
      </c>
      <c r="W28" s="131"/>
      <c r="X28" s="66" t="s">
        <v>55</v>
      </c>
      <c r="Y28" s="131"/>
      <c r="Z28" s="66"/>
      <c r="AA28" s="131"/>
      <c r="AB28" s="66"/>
      <c r="AC28" s="131"/>
      <c r="AD28" s="66" t="s">
        <v>57</v>
      </c>
    </row>
    <row r="29" spans="1:30" ht="13.5" thickBot="1" x14ac:dyDescent="0.25">
      <c r="A29" s="1" t="s">
        <v>139</v>
      </c>
      <c r="B29" s="4" t="s">
        <v>140</v>
      </c>
      <c r="C29" s="8" t="str">
        <f>+HLOOKUP(D3&amp;"1",$U$5:$AF$29,25,FALSE)</f>
        <v>Övrigt</v>
      </c>
      <c r="D29" s="72"/>
      <c r="E29" s="64"/>
      <c r="F29" s="9" t="str">
        <f t="shared" si="0"/>
        <v/>
      </c>
      <c r="G29" s="9" t="str">
        <f t="shared" si="1"/>
        <v/>
      </c>
      <c r="J29" s="110">
        <f>+SMALL(J7:J28,2)</f>
        <v>0.7</v>
      </c>
      <c r="K29" s="24">
        <f t="shared" ref="K29:L29" si="2">+SMALL(K7:K28,2)</f>
        <v>120</v>
      </c>
      <c r="L29" s="112">
        <f t="shared" si="2"/>
        <v>6.5</v>
      </c>
      <c r="M29" s="75"/>
      <c r="N29" s="100"/>
      <c r="O29" s="100"/>
      <c r="P29" s="75"/>
      <c r="Q29" s="75"/>
      <c r="R29" s="74"/>
      <c r="U29" s="8" t="s">
        <v>53</v>
      </c>
      <c r="V29" s="7"/>
      <c r="W29" s="8" t="s">
        <v>55</v>
      </c>
      <c r="X29" s="7"/>
      <c r="Y29" s="8"/>
      <c r="Z29" s="7"/>
      <c r="AA29" s="8"/>
      <c r="AB29" s="7"/>
      <c r="AC29" s="8" t="s">
        <v>141</v>
      </c>
      <c r="AD29" s="7"/>
    </row>
    <row r="30" spans="1:30" ht="15" thickBot="1" x14ac:dyDescent="0.3">
      <c r="B30" s="4"/>
      <c r="C30" s="3"/>
      <c r="D30" s="3"/>
      <c r="E30" s="11"/>
      <c r="F30" s="14"/>
      <c r="J30" s="86" t="s">
        <v>199</v>
      </c>
      <c r="K30" s="86" t="s">
        <v>198</v>
      </c>
      <c r="L30" s="86" t="s">
        <v>197</v>
      </c>
    </row>
    <row r="31" spans="1:30" ht="13.5" thickBot="1" x14ac:dyDescent="0.25">
      <c r="B31" s="4"/>
      <c r="C31" s="3"/>
      <c r="D31" s="19" t="s">
        <v>142</v>
      </c>
      <c r="E31" s="10">
        <f>SUM(E7:E29)</f>
        <v>0</v>
      </c>
      <c r="F31" s="14">
        <f>SUM(F7:F29)</f>
        <v>0</v>
      </c>
      <c r="J31" s="18">
        <f>+SUMPRODUCT($G$7:$G$29,J7:J29)</f>
        <v>0</v>
      </c>
      <c r="K31" s="18">
        <f t="shared" ref="K31:L31" si="3">+SUMPRODUCT($G$7:$G$29,K7:K29)</f>
        <v>0</v>
      </c>
      <c r="L31" s="18">
        <f t="shared" si="3"/>
        <v>0</v>
      </c>
      <c r="M31" s="75"/>
      <c r="N31" s="75"/>
      <c r="O31" s="75"/>
      <c r="P31" s="75"/>
      <c r="Q31" s="75"/>
      <c r="R31" s="18"/>
    </row>
    <row r="32" spans="1:30" ht="15.75" thickBot="1" x14ac:dyDescent="0.3">
      <c r="B32" s="4"/>
      <c r="C32" s="3"/>
      <c r="D32" s="20" t="s">
        <v>162</v>
      </c>
      <c r="E32" s="10">
        <f>SUM(E31-E26)</f>
        <v>0</v>
      </c>
      <c r="F32"/>
      <c r="G32" s="13">
        <f>SUM(G7:G29)</f>
        <v>0</v>
      </c>
    </row>
  </sheetData>
  <mergeCells count="33">
    <mergeCell ref="C27:C28"/>
    <mergeCell ref="Y13:Y14"/>
    <mergeCell ref="Y15:Y17"/>
    <mergeCell ref="Y18:Y19"/>
    <mergeCell ref="Y27:Y28"/>
    <mergeCell ref="Y7:Y8"/>
    <mergeCell ref="U27:U28"/>
    <mergeCell ref="W7:W8"/>
    <mergeCell ref="W13:W14"/>
    <mergeCell ref="W15:W17"/>
    <mergeCell ref="W18:W19"/>
    <mergeCell ref="W27:W28"/>
    <mergeCell ref="W9:W10"/>
    <mergeCell ref="AA7:AA8"/>
    <mergeCell ref="AA13:AA14"/>
    <mergeCell ref="AA15:AA17"/>
    <mergeCell ref="AA18:AA19"/>
    <mergeCell ref="AA27:AA28"/>
    <mergeCell ref="AC7:AC8"/>
    <mergeCell ref="AC13:AC14"/>
    <mergeCell ref="AC15:AC17"/>
    <mergeCell ref="AC18:AC19"/>
    <mergeCell ref="AC27:AC28"/>
    <mergeCell ref="C7:C8"/>
    <mergeCell ref="U7:U8"/>
    <mergeCell ref="U13:U14"/>
    <mergeCell ref="U15:U17"/>
    <mergeCell ref="U18:U19"/>
    <mergeCell ref="C9:C10"/>
    <mergeCell ref="U9:U10"/>
    <mergeCell ref="C13:C14"/>
    <mergeCell ref="C15:C17"/>
    <mergeCell ref="C18:C19"/>
  </mergeCells>
  <dataValidations count="1">
    <dataValidation type="list" showInputMessage="1" showErrorMessage="1" sqref="D3" xr:uid="{00000000-0002-0000-0000-000000000000}">
      <formula1>$T$3:$T$5</formula1>
    </dataValidation>
  </dataValidation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34"/>
  <sheetViews>
    <sheetView tabSelected="1" zoomScaleNormal="100" workbookViewId="0">
      <selection activeCell="P11" sqref="P11"/>
    </sheetView>
  </sheetViews>
  <sheetFormatPr defaultRowHeight="15" x14ac:dyDescent="0.25"/>
  <cols>
    <col min="1" max="1" width="1.7109375" customWidth="1"/>
    <col min="2" max="2" width="23" customWidth="1"/>
    <col min="3" max="3" width="10.140625" customWidth="1"/>
    <col min="4" max="4" width="13.42578125" customWidth="1"/>
    <col min="5" max="5" width="10.28515625" customWidth="1"/>
    <col min="6" max="6" width="8.42578125" customWidth="1"/>
    <col min="7" max="7" width="10.5703125" customWidth="1"/>
    <col min="8" max="9" width="9.85546875" customWidth="1"/>
    <col min="10" max="10" width="9.28515625" customWidth="1"/>
    <col min="11" max="11" width="12.28515625" style="116" customWidth="1"/>
    <col min="12" max="12" width="9.85546875" customWidth="1"/>
    <col min="13" max="13" width="2" customWidth="1"/>
    <col min="14" max="14" width="6.7109375" customWidth="1"/>
    <col min="15" max="15" width="23.85546875" customWidth="1"/>
    <col min="16" max="16" width="16.85546875" customWidth="1"/>
    <col min="17" max="18" width="13.42578125" customWidth="1"/>
    <col min="19" max="19" width="17" customWidth="1"/>
    <col min="20" max="21" width="23.85546875" customWidth="1"/>
  </cols>
  <sheetData>
    <row r="1" spans="2:19" ht="6" customHeight="1" thickBot="1" x14ac:dyDescent="0.3"/>
    <row r="2" spans="2:19" ht="128.25" thickBot="1" x14ac:dyDescent="0.3">
      <c r="B2" s="25" t="s">
        <v>163</v>
      </c>
      <c r="C2" s="26" t="s">
        <v>182</v>
      </c>
      <c r="D2" s="26"/>
      <c r="E2" s="27" t="s">
        <v>179</v>
      </c>
      <c r="F2" s="27"/>
      <c r="G2" s="27" t="s">
        <v>180</v>
      </c>
      <c r="H2" s="27"/>
      <c r="I2" s="26" t="s">
        <v>181</v>
      </c>
      <c r="J2" s="26" t="s">
        <v>178</v>
      </c>
      <c r="K2" s="117" t="s">
        <v>200</v>
      </c>
      <c r="L2" s="28" t="s">
        <v>178</v>
      </c>
      <c r="M2" s="29"/>
      <c r="N2" s="29"/>
      <c r="O2" s="92" t="s">
        <v>201</v>
      </c>
      <c r="P2" s="93" t="s">
        <v>185</v>
      </c>
      <c r="Q2" s="93" t="s">
        <v>186</v>
      </c>
      <c r="R2" s="29" t="s">
        <v>175</v>
      </c>
      <c r="S2" s="29" t="s">
        <v>176</v>
      </c>
    </row>
    <row r="3" spans="2:19" ht="27.75" thickBot="1" x14ac:dyDescent="0.3">
      <c r="B3" s="7" t="s">
        <v>164</v>
      </c>
      <c r="C3" s="30"/>
      <c r="D3" s="31" t="s">
        <v>143</v>
      </c>
      <c r="E3" s="32"/>
      <c r="F3" s="33" t="str">
        <f>+D3</f>
        <v>m3-N</v>
      </c>
      <c r="G3" s="32"/>
      <c r="H3" s="33" t="str">
        <f>+D3</f>
        <v>m3-N</v>
      </c>
      <c r="I3" s="59">
        <v>11</v>
      </c>
      <c r="J3" s="31" t="s">
        <v>144</v>
      </c>
      <c r="K3" s="118">
        <v>205</v>
      </c>
      <c r="L3" s="34" t="s">
        <v>145</v>
      </c>
      <c r="M3" s="35"/>
      <c r="N3" s="35"/>
      <c r="O3" s="35"/>
      <c r="P3" s="35"/>
      <c r="Q3" s="35"/>
      <c r="R3" s="36">
        <f t="shared" ref="R3:R13" si="0">+(C3-E3-35%*G3)*I3</f>
        <v>0</v>
      </c>
      <c r="S3" s="36">
        <f t="shared" ref="S3:S14" si="1">+R3*K3</f>
        <v>0</v>
      </c>
    </row>
    <row r="4" spans="2:19" ht="15.75" thickBot="1" x14ac:dyDescent="0.3">
      <c r="B4" s="6" t="s">
        <v>165</v>
      </c>
      <c r="C4" s="30"/>
      <c r="D4" s="31" t="s">
        <v>146</v>
      </c>
      <c r="E4" s="32"/>
      <c r="F4" s="33" t="str">
        <f>+D4</f>
        <v>kg</v>
      </c>
      <c r="G4" s="32"/>
      <c r="H4" s="33" t="str">
        <f>+D4</f>
        <v>kg</v>
      </c>
      <c r="I4" s="59">
        <v>11.29</v>
      </c>
      <c r="J4" s="31" t="s">
        <v>147</v>
      </c>
      <c r="K4" s="118">
        <v>267.3</v>
      </c>
      <c r="L4" s="34" t="s">
        <v>145</v>
      </c>
      <c r="M4" s="35"/>
      <c r="N4" s="35"/>
      <c r="O4" s="35"/>
      <c r="P4" s="35"/>
      <c r="Q4" s="35"/>
      <c r="R4" s="36">
        <f t="shared" si="0"/>
        <v>0</v>
      </c>
      <c r="S4" s="36">
        <f t="shared" si="1"/>
        <v>0</v>
      </c>
    </row>
    <row r="5" spans="2:19" ht="15.75" thickBot="1" x14ac:dyDescent="0.3">
      <c r="B5" s="6" t="s">
        <v>148</v>
      </c>
      <c r="C5" s="37"/>
      <c r="D5" s="38" t="s">
        <v>146</v>
      </c>
      <c r="E5" s="39"/>
      <c r="F5" s="40" t="str">
        <f t="shared" ref="F5:F15" si="2">+D5</f>
        <v>kg</v>
      </c>
      <c r="G5" s="39"/>
      <c r="H5" s="40" t="str">
        <f t="shared" ref="H5:H13" si="3">+D5</f>
        <v>kg</v>
      </c>
      <c r="I5" s="60">
        <v>12.78</v>
      </c>
      <c r="J5" s="38" t="s">
        <v>147</v>
      </c>
      <c r="K5" s="119">
        <v>234.4</v>
      </c>
      <c r="L5" s="41" t="s">
        <v>145</v>
      </c>
      <c r="M5" s="35"/>
      <c r="N5" s="35"/>
      <c r="O5" s="35"/>
      <c r="P5" s="35"/>
      <c r="Q5" s="35"/>
      <c r="R5" s="36">
        <f t="shared" si="0"/>
        <v>0</v>
      </c>
      <c r="S5" s="36">
        <f t="shared" si="1"/>
        <v>0</v>
      </c>
    </row>
    <row r="6" spans="2:19" ht="15.75" thickBot="1" x14ac:dyDescent="0.3">
      <c r="B6" s="6" t="s">
        <v>166</v>
      </c>
      <c r="C6" s="30"/>
      <c r="D6" s="31" t="s">
        <v>146</v>
      </c>
      <c r="E6" s="32"/>
      <c r="F6" s="33" t="str">
        <f t="shared" si="2"/>
        <v>kg</v>
      </c>
      <c r="G6" s="32"/>
      <c r="H6" s="33" t="str">
        <f t="shared" si="3"/>
        <v>kg</v>
      </c>
      <c r="I6" s="59">
        <v>8.7200000000000006</v>
      </c>
      <c r="J6" s="31" t="s">
        <v>147</v>
      </c>
      <c r="K6" s="118">
        <v>360</v>
      </c>
      <c r="L6" s="34" t="s">
        <v>145</v>
      </c>
      <c r="M6" s="35"/>
      <c r="N6" s="35"/>
      <c r="O6" s="35"/>
      <c r="P6" s="35"/>
      <c r="Q6" s="35"/>
      <c r="R6" s="36">
        <f t="shared" si="0"/>
        <v>0</v>
      </c>
      <c r="S6" s="36">
        <f t="shared" si="1"/>
        <v>0</v>
      </c>
    </row>
    <row r="7" spans="2:19" ht="15.75" thickBot="1" x14ac:dyDescent="0.3">
      <c r="B7" s="6" t="s">
        <v>167</v>
      </c>
      <c r="C7" s="37"/>
      <c r="D7" s="38" t="s">
        <v>146</v>
      </c>
      <c r="E7" s="39"/>
      <c r="F7" s="40" t="str">
        <f t="shared" si="2"/>
        <v>kg</v>
      </c>
      <c r="G7" s="39"/>
      <c r="H7" s="40" t="str">
        <f t="shared" si="3"/>
        <v>kg</v>
      </c>
      <c r="I7" s="60">
        <v>8.14</v>
      </c>
      <c r="J7" s="38" t="s">
        <v>147</v>
      </c>
      <c r="K7" s="119">
        <v>370.8</v>
      </c>
      <c r="L7" s="41" t="s">
        <v>145</v>
      </c>
      <c r="M7" s="35"/>
      <c r="N7" s="35"/>
      <c r="O7" s="35"/>
      <c r="P7" s="35"/>
      <c r="Q7" s="35"/>
      <c r="R7" s="36">
        <f t="shared" si="0"/>
        <v>0</v>
      </c>
      <c r="S7" s="36">
        <f t="shared" si="1"/>
        <v>0</v>
      </c>
    </row>
    <row r="8" spans="2:19" ht="15.75" thickBot="1" x14ac:dyDescent="0.3">
      <c r="B8" s="6" t="s">
        <v>168</v>
      </c>
      <c r="C8" s="30"/>
      <c r="D8" s="31" t="s">
        <v>146</v>
      </c>
      <c r="E8" s="32"/>
      <c r="F8" s="33" t="str">
        <f t="shared" si="2"/>
        <v>kg</v>
      </c>
      <c r="G8" s="32"/>
      <c r="H8" s="33" t="str">
        <f t="shared" si="3"/>
        <v>kg</v>
      </c>
      <c r="I8" s="59">
        <v>4.03</v>
      </c>
      <c r="J8" s="31" t="s">
        <v>147</v>
      </c>
      <c r="K8" s="118">
        <v>0</v>
      </c>
      <c r="L8" s="34" t="s">
        <v>145</v>
      </c>
      <c r="M8" s="35"/>
      <c r="N8" s="35"/>
      <c r="O8" s="35"/>
      <c r="P8" s="35"/>
      <c r="Q8" s="35"/>
      <c r="R8" s="36">
        <f t="shared" si="0"/>
        <v>0</v>
      </c>
      <c r="S8" s="36">
        <f t="shared" si="1"/>
        <v>0</v>
      </c>
    </row>
    <row r="9" spans="2:19" ht="15.75" thickBot="1" x14ac:dyDescent="0.3">
      <c r="B9" s="6" t="s">
        <v>149</v>
      </c>
      <c r="C9" s="37"/>
      <c r="D9" s="38" t="s">
        <v>146</v>
      </c>
      <c r="E9" s="39"/>
      <c r="F9" s="40" t="str">
        <f t="shared" si="2"/>
        <v>kg</v>
      </c>
      <c r="G9" s="39"/>
      <c r="H9" s="40" t="str">
        <f t="shared" si="3"/>
        <v>kg</v>
      </c>
      <c r="I9" s="60">
        <v>4.8600000000000003</v>
      </c>
      <c r="J9" s="38" t="s">
        <v>147</v>
      </c>
      <c r="K9" s="119">
        <v>0</v>
      </c>
      <c r="L9" s="41" t="s">
        <v>145</v>
      </c>
      <c r="M9" s="35"/>
      <c r="N9" s="35"/>
      <c r="O9" s="35"/>
      <c r="P9" s="35"/>
      <c r="Q9" s="35"/>
      <c r="R9" s="36">
        <f t="shared" si="0"/>
        <v>0</v>
      </c>
      <c r="S9" s="36">
        <f t="shared" si="1"/>
        <v>0</v>
      </c>
    </row>
    <row r="10" spans="2:19" ht="15.75" thickBot="1" x14ac:dyDescent="0.3">
      <c r="B10" s="6" t="s">
        <v>169</v>
      </c>
      <c r="C10" s="30"/>
      <c r="D10" s="31" t="s">
        <v>146</v>
      </c>
      <c r="E10" s="32"/>
      <c r="F10" s="33" t="str">
        <f t="shared" si="2"/>
        <v>kg</v>
      </c>
      <c r="G10" s="32"/>
      <c r="H10" s="33" t="str">
        <f t="shared" si="3"/>
        <v>kg</v>
      </c>
      <c r="I10" s="59">
        <v>4.08</v>
      </c>
      <c r="J10" s="31" t="s">
        <v>147</v>
      </c>
      <c r="K10" s="118">
        <v>0</v>
      </c>
      <c r="L10" s="34" t="s">
        <v>145</v>
      </c>
      <c r="M10" s="35"/>
      <c r="N10" s="35"/>
      <c r="O10" s="35"/>
      <c r="P10" s="35"/>
      <c r="Q10" s="35"/>
      <c r="R10" s="36">
        <f t="shared" si="0"/>
        <v>0</v>
      </c>
      <c r="S10" s="36">
        <f t="shared" si="1"/>
        <v>0</v>
      </c>
    </row>
    <row r="11" spans="2:19" ht="57" customHeight="1" thickBot="1" x14ac:dyDescent="0.3">
      <c r="B11" s="6" t="s">
        <v>170</v>
      </c>
      <c r="C11" s="37"/>
      <c r="D11" s="38" t="s">
        <v>150</v>
      </c>
      <c r="E11" s="39"/>
      <c r="F11" s="40" t="str">
        <f t="shared" si="2"/>
        <v>dm3
wood chip volume</v>
      </c>
      <c r="G11" s="39"/>
      <c r="H11" s="40" t="str">
        <f t="shared" si="3"/>
        <v>dm3
wood chip volume</v>
      </c>
      <c r="I11" s="60">
        <v>0.78</v>
      </c>
      <c r="J11" s="38" t="s">
        <v>151</v>
      </c>
      <c r="K11" s="119">
        <v>0</v>
      </c>
      <c r="L11" s="41" t="s">
        <v>145</v>
      </c>
      <c r="M11" s="35"/>
      <c r="N11" s="35"/>
      <c r="O11" s="35"/>
      <c r="P11" s="35"/>
      <c r="Q11" s="35"/>
      <c r="R11" s="36">
        <f t="shared" si="0"/>
        <v>0</v>
      </c>
      <c r="S11" s="36">
        <f t="shared" si="1"/>
        <v>0</v>
      </c>
    </row>
    <row r="12" spans="2:19" ht="15.75" thickBot="1" x14ac:dyDescent="0.3">
      <c r="B12" s="6" t="s">
        <v>152</v>
      </c>
      <c r="C12" s="30"/>
      <c r="D12" s="31" t="s">
        <v>153</v>
      </c>
      <c r="E12" s="32"/>
      <c r="F12" s="33" t="str">
        <f t="shared" si="2"/>
        <v>m3</v>
      </c>
      <c r="G12" s="32"/>
      <c r="H12" s="33" t="str">
        <f t="shared" si="3"/>
        <v>m3</v>
      </c>
      <c r="I12" s="59">
        <v>6.39</v>
      </c>
      <c r="J12" s="31" t="s">
        <v>154</v>
      </c>
      <c r="K12" s="118">
        <v>0</v>
      </c>
      <c r="L12" s="34" t="s">
        <v>145</v>
      </c>
      <c r="M12" s="35"/>
      <c r="N12" s="35"/>
      <c r="O12" s="35"/>
      <c r="P12" s="35"/>
      <c r="Q12" s="35"/>
      <c r="R12" s="36">
        <f t="shared" si="0"/>
        <v>0</v>
      </c>
      <c r="S12" s="36">
        <f t="shared" si="1"/>
        <v>0</v>
      </c>
    </row>
    <row r="13" spans="2:19" ht="15.75" thickBot="1" x14ac:dyDescent="0.3">
      <c r="B13" s="6" t="s">
        <v>174</v>
      </c>
      <c r="C13" s="42"/>
      <c r="D13" s="43" t="s">
        <v>155</v>
      </c>
      <c r="E13" s="44"/>
      <c r="F13" s="45" t="str">
        <f t="shared" si="2"/>
        <v>kWh</v>
      </c>
      <c r="G13" s="44"/>
      <c r="H13" s="45" t="str">
        <f t="shared" si="3"/>
        <v>kWh</v>
      </c>
      <c r="I13" s="61">
        <v>1</v>
      </c>
      <c r="J13" s="43" t="s">
        <v>156</v>
      </c>
      <c r="K13" s="120">
        <v>0</v>
      </c>
      <c r="L13" s="34" t="s">
        <v>145</v>
      </c>
      <c r="M13" s="35"/>
      <c r="N13" s="35"/>
      <c r="O13" s="35"/>
      <c r="P13" s="35"/>
      <c r="Q13" s="35"/>
      <c r="R13" s="36">
        <f t="shared" si="0"/>
        <v>0</v>
      </c>
      <c r="S13" s="36">
        <f t="shared" si="1"/>
        <v>0</v>
      </c>
    </row>
    <row r="14" spans="2:19" ht="15.75" thickBot="1" x14ac:dyDescent="0.3">
      <c r="B14" s="6" t="s">
        <v>171</v>
      </c>
      <c r="C14" s="42"/>
      <c r="D14" s="43" t="s">
        <v>155</v>
      </c>
      <c r="E14" s="44"/>
      <c r="F14" s="45" t="str">
        <f t="shared" si="2"/>
        <v>kWh</v>
      </c>
      <c r="G14" s="46"/>
      <c r="H14" s="46"/>
      <c r="I14" s="61">
        <v>1.1000000000000001</v>
      </c>
      <c r="J14" s="43" t="s">
        <v>156</v>
      </c>
      <c r="K14" s="120">
        <v>227</v>
      </c>
      <c r="L14" s="47" t="s">
        <v>145</v>
      </c>
      <c r="M14" s="35"/>
      <c r="N14" s="35"/>
      <c r="O14" s="35"/>
      <c r="P14" s="35"/>
      <c r="Q14" s="35"/>
      <c r="R14" s="36">
        <f>+(C14-E14)*I14</f>
        <v>0</v>
      </c>
      <c r="S14" s="36">
        <f t="shared" si="1"/>
        <v>0</v>
      </c>
    </row>
    <row r="15" spans="2:19" ht="39" thickBot="1" x14ac:dyDescent="0.3">
      <c r="B15" s="6" t="s">
        <v>173</v>
      </c>
      <c r="C15" s="48"/>
      <c r="D15" s="49" t="s">
        <v>155</v>
      </c>
      <c r="E15" s="80"/>
      <c r="F15" s="81" t="str">
        <f t="shared" si="2"/>
        <v>kWh</v>
      </c>
      <c r="G15" s="82"/>
      <c r="H15" s="82"/>
      <c r="I15" s="78">
        <v>1.5</v>
      </c>
      <c r="J15" s="49" t="s">
        <v>156</v>
      </c>
      <c r="K15" s="121">
        <v>59</v>
      </c>
      <c r="L15" s="79" t="s">
        <v>157</v>
      </c>
      <c r="M15" s="35"/>
      <c r="N15" s="35"/>
      <c r="O15" s="35">
        <f>+C15-C16</f>
        <v>0</v>
      </c>
      <c r="P15" s="35">
        <f>+IF(O15&gt;E15,E15,O15)</f>
        <v>0</v>
      </c>
      <c r="Q15" s="35">
        <f>+IF(O15=P15,E15-P15)</f>
        <v>0</v>
      </c>
      <c r="R15" s="94">
        <f>+(C15-C16-P15)*I15+(C16-Q15)*I16</f>
        <v>0</v>
      </c>
      <c r="S15" s="94">
        <f>+(C15-C16-P15)*K15+(C16-Q15)/2*K15</f>
        <v>0</v>
      </c>
    </row>
    <row r="16" spans="2:19" ht="26.25" thickBot="1" x14ac:dyDescent="0.3">
      <c r="B16" s="87" t="s">
        <v>172</v>
      </c>
      <c r="C16" s="99"/>
      <c r="D16" s="88" t="s">
        <v>155</v>
      </c>
      <c r="E16" s="89"/>
      <c r="F16" s="89"/>
      <c r="G16" s="89"/>
      <c r="H16" s="89"/>
      <c r="I16" s="90">
        <v>1.1000000000000001</v>
      </c>
      <c r="J16" s="91" t="s">
        <v>156</v>
      </c>
      <c r="K16" s="122">
        <f>K15/2</f>
        <v>29.5</v>
      </c>
      <c r="L16" s="91" t="s">
        <v>157</v>
      </c>
      <c r="M16" s="50"/>
      <c r="N16" s="50"/>
      <c r="O16" s="50"/>
      <c r="P16" s="50"/>
      <c r="Q16" s="50"/>
      <c r="R16" s="50"/>
      <c r="S16" s="50"/>
    </row>
    <row r="17" spans="2:21" ht="15.75" thickBot="1" x14ac:dyDescent="0.3">
      <c r="B17" s="77" t="s">
        <v>177</v>
      </c>
      <c r="C17" s="50"/>
      <c r="D17" s="50"/>
      <c r="E17" s="50"/>
      <c r="F17" s="50"/>
      <c r="G17" s="50"/>
      <c r="H17" s="50"/>
      <c r="I17" s="50"/>
      <c r="J17" s="50"/>
      <c r="K17" s="123"/>
      <c r="L17" s="50"/>
      <c r="M17" s="50"/>
      <c r="N17" s="50"/>
      <c r="O17" s="50"/>
      <c r="P17" s="50"/>
      <c r="Q17" s="50"/>
      <c r="R17" s="50"/>
      <c r="S17" s="50"/>
    </row>
    <row r="18" spans="2:21" ht="15.75" thickBot="1" x14ac:dyDescent="0.3">
      <c r="B18" s="51" t="s">
        <v>187</v>
      </c>
      <c r="C18" s="76"/>
      <c r="D18" s="52" t="s">
        <v>153</v>
      </c>
      <c r="E18" s="50"/>
      <c r="F18" s="77"/>
      <c r="G18" s="50"/>
      <c r="H18" s="50"/>
      <c r="I18" s="50"/>
      <c r="J18" s="134"/>
      <c r="K18" s="123"/>
      <c r="L18" s="50"/>
      <c r="M18" s="50"/>
      <c r="N18" s="50"/>
      <c r="O18" s="50"/>
      <c r="P18" s="50"/>
      <c r="Q18" s="50"/>
      <c r="R18" s="50"/>
      <c r="S18" s="50"/>
    </row>
    <row r="19" spans="2:21" ht="15.75" thickBot="1" x14ac:dyDescent="0.3">
      <c r="B19" s="50"/>
      <c r="C19" s="50"/>
      <c r="D19" s="50"/>
      <c r="E19" s="50"/>
      <c r="F19" s="50"/>
      <c r="G19" s="50"/>
      <c r="H19" s="50"/>
      <c r="I19" s="50"/>
      <c r="J19" s="50"/>
      <c r="K19" s="123"/>
      <c r="L19" s="50"/>
      <c r="M19" s="50"/>
      <c r="N19" s="50"/>
      <c r="O19" s="50"/>
      <c r="P19" s="50"/>
      <c r="Q19" s="50"/>
      <c r="R19" s="50"/>
      <c r="S19" s="50"/>
    </row>
    <row r="20" spans="2:21" x14ac:dyDescent="0.25">
      <c r="B20" s="53" t="s">
        <v>190</v>
      </c>
      <c r="C20" s="54"/>
      <c r="D20" s="55"/>
      <c r="E20" s="50"/>
      <c r="F20" s="50"/>
      <c r="G20" s="50"/>
      <c r="H20" s="50"/>
      <c r="I20" s="50"/>
      <c r="J20" s="50"/>
      <c r="K20" s="123"/>
      <c r="L20" s="50"/>
      <c r="M20" s="50"/>
      <c r="N20" s="50"/>
      <c r="O20" s="50"/>
      <c r="P20" s="50"/>
      <c r="Q20" s="50"/>
      <c r="R20" s="50"/>
      <c r="S20" s="50"/>
    </row>
    <row r="21" spans="2:21" ht="18" x14ac:dyDescent="0.35">
      <c r="B21" s="56" t="s">
        <v>161</v>
      </c>
      <c r="C21" s="137" t="str">
        <f>IFERROR(+SUM(R3:R15)/'Tvättmängder och faktorvärden'!E32,"")</f>
        <v/>
      </c>
      <c r="D21" s="57" t="s">
        <v>147</v>
      </c>
      <c r="E21" s="50"/>
      <c r="F21" s="50"/>
      <c r="G21" s="50"/>
      <c r="H21" s="50"/>
      <c r="I21" s="50"/>
      <c r="J21" s="50"/>
      <c r="K21" s="123"/>
      <c r="L21" s="50"/>
      <c r="M21" s="50"/>
      <c r="N21" s="50"/>
      <c r="O21" s="96"/>
      <c r="P21" s="96"/>
      <c r="Q21" s="96"/>
      <c r="R21" s="96"/>
      <c r="S21" s="96"/>
      <c r="T21" s="97"/>
    </row>
    <row r="22" spans="2:21" ht="18" x14ac:dyDescent="0.35">
      <c r="B22" s="56" t="s">
        <v>192</v>
      </c>
      <c r="C22" s="137" t="str">
        <f>IF('Tvättmängder och faktorvärden'!E32=0,"",+'Tvättmängder och faktorvärden'!J31)</f>
        <v/>
      </c>
      <c r="D22" s="57" t="s">
        <v>147</v>
      </c>
      <c r="E22" s="50"/>
      <c r="F22" s="50"/>
      <c r="G22" s="50"/>
      <c r="H22" s="50"/>
      <c r="I22" s="50"/>
      <c r="J22" s="50"/>
      <c r="K22" s="123"/>
      <c r="L22" s="50"/>
      <c r="M22" s="50"/>
      <c r="N22" s="50"/>
      <c r="O22" s="50"/>
      <c r="P22" s="98"/>
      <c r="Q22" s="98"/>
      <c r="R22" s="98"/>
      <c r="S22" s="98"/>
      <c r="T22" s="98"/>
      <c r="U22" s="50"/>
    </row>
    <row r="23" spans="2:21" x14ac:dyDescent="0.25">
      <c r="B23" s="56"/>
      <c r="C23" s="124"/>
      <c r="D23" s="125" t="s">
        <v>158</v>
      </c>
      <c r="E23" s="134"/>
      <c r="F23" s="134"/>
      <c r="G23" s="50"/>
      <c r="H23" s="50"/>
      <c r="I23" s="50"/>
      <c r="J23" s="50"/>
      <c r="K23" s="123"/>
      <c r="L23" s="50"/>
      <c r="M23" s="50"/>
      <c r="N23" s="50"/>
      <c r="O23" s="50"/>
      <c r="P23" s="50"/>
      <c r="Q23" s="50"/>
      <c r="R23" s="50"/>
      <c r="S23" s="50"/>
      <c r="T23" s="50"/>
    </row>
    <row r="24" spans="2:21" x14ac:dyDescent="0.25">
      <c r="B24" s="56"/>
      <c r="C24" s="134"/>
      <c r="D24" s="57"/>
      <c r="E24" s="50"/>
      <c r="F24" s="50"/>
      <c r="G24" s="50"/>
      <c r="H24" s="50"/>
      <c r="I24" s="50"/>
      <c r="J24" s="50"/>
      <c r="K24" s="123"/>
      <c r="L24" s="50"/>
      <c r="M24" s="50"/>
      <c r="N24" s="50"/>
      <c r="O24" s="50"/>
      <c r="P24" s="50"/>
      <c r="Q24" s="50"/>
      <c r="R24" s="50"/>
      <c r="S24" s="50"/>
    </row>
    <row r="25" spans="2:21" x14ac:dyDescent="0.25">
      <c r="B25" s="58" t="s">
        <v>188</v>
      </c>
      <c r="C25" s="134"/>
      <c r="D25" s="57"/>
      <c r="E25" s="50"/>
      <c r="F25" s="50"/>
      <c r="G25" s="50"/>
      <c r="H25" s="50"/>
      <c r="I25" s="50"/>
      <c r="J25" s="50"/>
      <c r="K25" s="123"/>
      <c r="L25" s="50"/>
      <c r="M25" s="50"/>
      <c r="N25" s="50"/>
      <c r="O25" s="50"/>
      <c r="P25" s="50"/>
      <c r="Q25" s="50"/>
      <c r="R25" s="50"/>
      <c r="S25" s="50"/>
    </row>
    <row r="26" spans="2:21" ht="18" x14ac:dyDescent="0.35">
      <c r="B26" s="56" t="s">
        <v>195</v>
      </c>
      <c r="C26" s="138" t="str">
        <f>IFERROR(+SUM(S3:S15)/'Tvättmängder och faktorvärden'!E32,"")</f>
        <v/>
      </c>
      <c r="D26" s="57" t="s">
        <v>159</v>
      </c>
      <c r="E26" s="50"/>
      <c r="F26" s="50"/>
      <c r="G26" s="50"/>
      <c r="H26" s="50"/>
      <c r="I26" s="50"/>
      <c r="J26" s="50"/>
      <c r="K26" s="123"/>
      <c r="L26" s="50"/>
      <c r="M26" s="50"/>
      <c r="N26" s="50"/>
      <c r="O26" s="96"/>
      <c r="P26" s="96"/>
      <c r="Q26" s="96"/>
      <c r="R26" s="96"/>
      <c r="S26" s="96"/>
      <c r="T26" s="97"/>
    </row>
    <row r="27" spans="2:21" ht="18" x14ac:dyDescent="0.35">
      <c r="B27" s="56" t="s">
        <v>196</v>
      </c>
      <c r="C27" s="138" t="str">
        <f>IF('Tvättmängder och faktorvärden'!E32=0,"",+'Tvättmängder och faktorvärden'!K31)</f>
        <v/>
      </c>
      <c r="D27" s="57" t="s">
        <v>159</v>
      </c>
      <c r="E27" s="50"/>
      <c r="F27" s="50"/>
      <c r="G27" s="50"/>
      <c r="H27" s="50"/>
      <c r="I27" s="50"/>
      <c r="J27" s="50"/>
      <c r="K27" s="123"/>
      <c r="L27" s="50"/>
      <c r="M27" s="50"/>
      <c r="N27" s="50"/>
      <c r="O27" s="50"/>
      <c r="P27" s="98"/>
      <c r="Q27" s="98"/>
      <c r="R27" s="98"/>
      <c r="S27" s="98"/>
      <c r="T27" s="98"/>
    </row>
    <row r="28" spans="2:21" x14ac:dyDescent="0.25">
      <c r="B28" s="56"/>
      <c r="C28" s="124"/>
      <c r="D28" s="125"/>
      <c r="E28" s="134"/>
      <c r="F28" s="134"/>
      <c r="G28" s="50"/>
      <c r="H28" s="50"/>
      <c r="I28" s="50"/>
      <c r="J28" s="50"/>
      <c r="K28" s="123"/>
      <c r="L28" s="50"/>
      <c r="M28" s="50"/>
      <c r="N28" s="50"/>
      <c r="O28" s="50"/>
      <c r="P28" s="50"/>
      <c r="Q28" s="50"/>
      <c r="R28" s="50"/>
      <c r="S28" s="50"/>
      <c r="T28" s="50"/>
    </row>
    <row r="29" spans="2:21" x14ac:dyDescent="0.25">
      <c r="B29" s="56"/>
      <c r="C29" s="134"/>
      <c r="D29" s="57"/>
      <c r="E29" s="50"/>
      <c r="F29" s="50"/>
      <c r="G29" s="50"/>
      <c r="H29" s="50"/>
      <c r="I29" s="50"/>
      <c r="J29" s="50"/>
      <c r="K29" s="123"/>
      <c r="L29" s="50"/>
      <c r="M29" s="50"/>
      <c r="N29" s="50"/>
      <c r="O29" s="50"/>
      <c r="P29" s="50"/>
      <c r="Q29" s="50"/>
      <c r="R29" s="50"/>
      <c r="S29" s="50"/>
    </row>
    <row r="30" spans="2:21" x14ac:dyDescent="0.25">
      <c r="B30" s="58" t="s">
        <v>189</v>
      </c>
      <c r="C30" s="134"/>
      <c r="D30" s="57"/>
      <c r="E30" s="50"/>
      <c r="F30" s="50"/>
      <c r="G30" s="50"/>
      <c r="H30" s="50"/>
      <c r="I30" s="50"/>
      <c r="J30" s="50"/>
      <c r="K30" s="123"/>
      <c r="L30" s="50"/>
      <c r="M30" s="50"/>
      <c r="N30" s="50"/>
      <c r="O30" s="50"/>
      <c r="P30" s="50"/>
      <c r="Q30" s="50"/>
      <c r="R30" s="50"/>
      <c r="S30" s="50"/>
    </row>
    <row r="31" spans="2:21" ht="18" x14ac:dyDescent="0.35">
      <c r="B31" s="56" t="s">
        <v>193</v>
      </c>
      <c r="C31" s="62" t="str">
        <f>IFERROR(+C18*1000/'Tvättmängder och faktorvärden'!E32,"")</f>
        <v/>
      </c>
      <c r="D31" s="57" t="s">
        <v>160</v>
      </c>
      <c r="E31" s="50"/>
      <c r="F31" s="50"/>
      <c r="G31" s="50"/>
      <c r="H31" s="50"/>
      <c r="I31" s="50"/>
      <c r="J31" s="50"/>
      <c r="K31" s="123"/>
      <c r="L31" s="50"/>
      <c r="M31" s="50"/>
      <c r="N31" s="50"/>
      <c r="O31" s="96"/>
      <c r="P31" s="96"/>
      <c r="Q31" s="96"/>
      <c r="R31" s="96"/>
      <c r="S31" s="96"/>
      <c r="T31" s="97"/>
    </row>
    <row r="32" spans="2:21" ht="18" x14ac:dyDescent="0.35">
      <c r="B32" s="56" t="s">
        <v>194</v>
      </c>
      <c r="C32" s="139" t="str">
        <f>IF('Tvättmängder och faktorvärden'!E32=0,"",'Tvättmängder och faktorvärden'!L31)</f>
        <v/>
      </c>
      <c r="D32" s="57" t="s">
        <v>160</v>
      </c>
      <c r="E32" s="50"/>
      <c r="F32" s="50"/>
      <c r="G32" s="50"/>
      <c r="H32" s="50"/>
      <c r="I32" s="50"/>
      <c r="J32" s="50"/>
      <c r="K32" s="123"/>
      <c r="L32" s="50"/>
      <c r="M32" s="50"/>
      <c r="N32" s="50"/>
      <c r="O32" s="50"/>
      <c r="P32" s="98"/>
      <c r="Q32" s="98"/>
      <c r="R32" s="98"/>
      <c r="S32" s="98"/>
      <c r="T32" s="98"/>
    </row>
    <row r="33" spans="2:20" ht="15.75" thickBot="1" x14ac:dyDescent="0.3">
      <c r="B33" s="126"/>
      <c r="C33" s="127"/>
      <c r="D33" s="128" t="s">
        <v>158</v>
      </c>
      <c r="E33" s="136"/>
      <c r="F33" s="136"/>
      <c r="G33" s="50"/>
      <c r="H33" s="50"/>
      <c r="I33" s="50"/>
      <c r="J33" s="50"/>
      <c r="K33" s="123"/>
      <c r="L33" s="50"/>
      <c r="M33" s="50"/>
      <c r="N33" s="50"/>
      <c r="O33" s="50"/>
      <c r="P33" s="50"/>
      <c r="Q33" s="50"/>
      <c r="R33" s="50"/>
      <c r="S33" s="50"/>
      <c r="T33" s="50"/>
    </row>
    <row r="34" spans="2:20" ht="6.75" customHeight="1" x14ac:dyDescent="0.25">
      <c r="F34" s="135"/>
      <c r="O34" s="50"/>
      <c r="P34" s="50"/>
      <c r="Q34" s="50"/>
      <c r="R34" s="50"/>
      <c r="S34" s="50"/>
      <c r="T34" s="50"/>
    </row>
  </sheetData>
  <conditionalFormatting sqref="C23 C28">
    <cfRule type="cellIs" dxfId="4" priority="13" operator="greaterThan">
      <formula>1</formula>
    </cfRule>
  </conditionalFormatting>
  <conditionalFormatting sqref="D23">
    <cfRule type="expression" dxfId="3" priority="8">
      <formula>LEFT($F$23,1)="p"</formula>
    </cfRule>
  </conditionalFormatting>
  <conditionalFormatting sqref="D28">
    <cfRule type="expression" dxfId="2" priority="3">
      <formula>LEFT($F$28,1)="p"</formula>
    </cfRule>
  </conditionalFormatting>
  <conditionalFormatting sqref="D33">
    <cfRule type="expression" dxfId="1" priority="2">
      <formula>LEFT($F$33,1)="p"</formula>
    </cfRule>
  </conditionalFormatting>
  <conditionalFormatting sqref="G3:G13 E3:E15 C16">
    <cfRule type="expression" dxfId="0" priority="1">
      <formula>$N$17&gt;0</formula>
    </cfRule>
  </conditionalFormatting>
  <pageMargins left="0.25" right="0.25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L31" sqref="L3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28" sqref="A28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d7dd32-9f76-4a2d-9034-671fa3e2eb51" xsi:nil="true"/>
    <lcf76f155ced4ddcb4097134ff3c332f xmlns="16df0fd5-12f6-487c-bdfe-095cf1fe9b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E8625E0E70D74885AFCB2C9A8831C8" ma:contentTypeVersion="16" ma:contentTypeDescription="Skapa ett nytt dokument." ma:contentTypeScope="" ma:versionID="34a1a3426f572295506acd931ae84075">
  <xsd:schema xmlns:xsd="http://www.w3.org/2001/XMLSchema" xmlns:xs="http://www.w3.org/2001/XMLSchema" xmlns:p="http://schemas.microsoft.com/office/2006/metadata/properties" xmlns:ns2="16df0fd5-12f6-487c-bdfe-095cf1fe9bd9" xmlns:ns3="95d7dd32-9f76-4a2d-9034-671fa3e2eb51" targetNamespace="http://schemas.microsoft.com/office/2006/metadata/properties" ma:root="true" ma:fieldsID="eaddaabec0349e92e633e54bd94638b1" ns2:_="" ns3:_="">
    <xsd:import namespace="16df0fd5-12f6-487c-bdfe-095cf1fe9bd9"/>
    <xsd:import namespace="95d7dd32-9f76-4a2d-9034-671fa3e2eb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df0fd5-12f6-487c-bdfe-095cf1fe9b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7c348b0c-bc67-4832-bf0c-49095bc384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7dd32-9f76-4a2d-9034-671fa3e2eb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f884a19-8e11-4faa-a753-a9765dfa6bc0}" ma:internalName="TaxCatchAll" ma:showField="CatchAllData" ma:web="95d7dd32-9f76-4a2d-9034-671fa3e2eb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470491-3710-40C2-849C-577D904F9261}">
  <ds:schemaRefs>
    <ds:schemaRef ds:uri="http://schemas.microsoft.com/office/2006/metadata/properties"/>
    <ds:schemaRef ds:uri="http://purl.org/dc/dcmitype/"/>
    <ds:schemaRef ds:uri="16df0fd5-12f6-487c-bdfe-095cf1fe9bd9"/>
    <ds:schemaRef ds:uri="http://www.w3.org/XML/1998/namespace"/>
    <ds:schemaRef ds:uri="95d7dd32-9f76-4a2d-9034-671fa3e2eb51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05555E-23B7-4E73-8C22-BE770F96C294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16df0fd5-12f6-487c-bdfe-095cf1fe9bd9"/>
    <ds:schemaRef ds:uri="95d7dd32-9f76-4a2d-9034-671fa3e2eb5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EFFC6E-4009-4DD4-80E5-F7DFFDA9F6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2</vt:i4>
      </vt:variant>
    </vt:vector>
  </HeadingPairs>
  <TitlesOfParts>
    <vt:vector size="7" baseType="lpstr">
      <vt:lpstr>Blad1</vt:lpstr>
      <vt:lpstr>Tvättmängder och faktorvärden</vt:lpstr>
      <vt:lpstr>Energi, vatten och växthusgaser</vt:lpstr>
      <vt:lpstr>Results_Conclusions</vt:lpstr>
      <vt:lpstr>_Chemical factors</vt:lpstr>
      <vt:lpstr>'Energi, vatten och växthusgaser'!Utskriftsområde</vt:lpstr>
      <vt:lpstr>'Tvättmängder och faktorvärden'!Utskriftsområde</vt:lpstr>
    </vt:vector>
  </TitlesOfParts>
  <Manager/>
  <Company>Dansk Standard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Application Help</dc:title>
  <dc:subject/>
  <dc:creator>Jeppe Frydendal</dc:creator>
  <cp:keywords/>
  <dc:description/>
  <cp:lastModifiedBy>Anette Svensson</cp:lastModifiedBy>
  <cp:revision/>
  <dcterms:created xsi:type="dcterms:W3CDTF">2018-02-14T11:24:03Z</dcterms:created>
  <dcterms:modified xsi:type="dcterms:W3CDTF">2023-06-20T11:45:34Z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0x0101001CE8625E0E70D74885AFCB2C9A8831C8</vt:lpwstr>
  </property>
  <property fmtid="{D5CDD505-2E9C-101B-9397-08002B2CF9AE}" pid="3" name="Ver0">
    <vt:lpwstr>70;#.0|4560965c-b518-4ed0-ab4d-c02076b474d1</vt:lpwstr>
  </property>
  <property fmtid="{D5CDD505-2E9C-101B-9397-08002B2CF9AE}" pid="4" name="Year2">
    <vt:lpwstr>505;#2018|1c8663d8-5b67-453e-9778-75f732d9340e</vt:lpwstr>
  </property>
  <property fmtid="{D5CDD505-2E9C-101B-9397-08002B2CF9AE}" pid="5" name="Gen0">
    <vt:lpwstr>74;#4|6f3115d7-7bd7-43be-b888-10986222e4f3</vt:lpwstr>
  </property>
  <property fmtid="{D5CDD505-2E9C-101B-9397-08002B2CF9AE}" pid="6" name="Document status1">
    <vt:lpwstr>68;#Valid|715646e3-bb08-47a6-89b9-774dbfda2109</vt:lpwstr>
  </property>
  <property fmtid="{D5CDD505-2E9C-101B-9397-08002B2CF9AE}" pid="7" name="Product group 001">
    <vt:lpwstr>117;#Textile services (075)|dcd87446-849e-4855-b9d2-2994f6077b0c</vt:lpwstr>
  </property>
  <property fmtid="{D5CDD505-2E9C-101B-9397-08002B2CF9AE}" pid="8" name="Document Type">
    <vt:lpwstr>287;#Calculation sheet|8d9e94c2-df09-48f3-b059-a1a0a5090d21</vt:lpwstr>
  </property>
  <property fmtid="{D5CDD505-2E9C-101B-9397-08002B2CF9AE}" pid="9" name="MediaServiceImageTags">
    <vt:lpwstr/>
  </property>
</Properties>
</file>